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2403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<sst xmlns="http://schemas.openxmlformats.org/spreadsheetml/2006/main" count="97" uniqueCount="63">
  <si>
    <t>YEAR</t>
  </si>
  <si>
    <t>n</t>
  </si>
  <si>
    <t>Y</t>
  </si>
  <si>
    <t>f</t>
  </si>
  <si>
    <t>YPUE, kg/h</t>
  </si>
  <si>
    <t>C/ha</t>
  </si>
  <si>
    <t>Y/ha</t>
  </si>
  <si>
    <t>F1</t>
  </si>
  <si>
    <t>F2</t>
  </si>
  <si>
    <t>F3</t>
  </si>
  <si>
    <t>0+</t>
  </si>
  <si>
    <t>1+</t>
  </si>
  <si>
    <t>2+</t>
  </si>
  <si>
    <t>3+</t>
  </si>
  <si>
    <t>4+</t>
  </si>
  <si>
    <t>5+</t>
  </si>
  <si>
    <t>6+</t>
  </si>
  <si>
    <t>Proportions in catch</t>
  </si>
  <si>
    <t>Average weight, g</t>
  </si>
  <si>
    <t>all</t>
  </si>
  <si>
    <t>CPUE, ind./h</t>
  </si>
  <si>
    <t>S</t>
  </si>
  <si>
    <t>0+-1+</t>
  </si>
  <si>
    <t>1+-2+</t>
  </si>
  <si>
    <t>2+-3+</t>
  </si>
  <si>
    <t>3+-4+</t>
  </si>
  <si>
    <t>4+-5+</t>
  </si>
  <si>
    <t>5+-6+</t>
  </si>
  <si>
    <t>Revenue</t>
  </si>
  <si>
    <t>Cost</t>
  </si>
  <si>
    <t>Total P</t>
  </si>
  <si>
    <t>ave Z</t>
  </si>
  <si>
    <t>Y/n</t>
  </si>
  <si>
    <t>a</t>
  </si>
  <si>
    <t>b</t>
  </si>
  <si>
    <t>best fit</t>
  </si>
  <si>
    <t>worst</t>
  </si>
  <si>
    <t>medium</t>
  </si>
  <si>
    <t>ECHO D</t>
  </si>
  <si>
    <t>Compens</t>
  </si>
  <si>
    <t>adult</t>
  </si>
  <si>
    <t>SB index</t>
  </si>
  <si>
    <t>M=</t>
  </si>
  <si>
    <t>q=</t>
  </si>
  <si>
    <t>age</t>
  </si>
  <si>
    <t>Stock estimates based on q estimates (N=CPUE/q)</t>
  </si>
  <si>
    <t>SUM</t>
  </si>
  <si>
    <t>SUM ad</t>
  </si>
  <si>
    <t>0+ estimate</t>
  </si>
  <si>
    <t>ROUGH!</t>
  </si>
  <si>
    <t>F-estimates based on Z and M estimates</t>
  </si>
  <si>
    <t>RICKER Y/R</t>
  </si>
  <si>
    <t>w</t>
  </si>
  <si>
    <t>M</t>
  </si>
  <si>
    <t>F</t>
  </si>
  <si>
    <t>B</t>
  </si>
  <si>
    <t>Sum Y/R</t>
  </si>
  <si>
    <t>SB/R</t>
  </si>
  <si>
    <t>Y/R</t>
  </si>
  <si>
    <t>G</t>
  </si>
  <si>
    <t>FAST GROWTH</t>
  </si>
  <si>
    <t>SLOW GROWTH</t>
  </si>
  <si>
    <t>PALOHEIMO-ESTIMATE S OF M and q (assumed constant)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</si>
</sst>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000"/>
    <numFmt numFmtId="167" formatCode="0.00000"/>
    <numFmt numFmtId="168" formatCode="0.000000"/>
    <numFmt numFmtId="169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B0F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34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1" fontId="0" fillId="38" borderId="0" xfId="0" applyNumberFormat="1" applyFill="1" applyAlignment="1">
      <alignment/>
    </xf>
    <xf numFmtId="2" fontId="0" fillId="38" borderId="0" xfId="0" applyNumberFormat="1" applyFill="1" applyAlignment="1">
      <alignment/>
    </xf>
    <xf numFmtId="165" fontId="0" fillId="38" borderId="0" xfId="0" applyNumberFormat="1" applyFill="1" applyAlignment="1">
      <alignment/>
    </xf>
    <xf numFmtId="164" fontId="0" fillId="38" borderId="0" xfId="0" applyNumberFormat="1" applyFill="1" applyAlignment="1">
      <alignment/>
    </xf>
    <xf numFmtId="0" fontId="0" fillId="39" borderId="0" xfId="0" applyFill="1" applyAlignment="1">
      <alignment/>
    </xf>
    <xf numFmtId="1" fontId="0" fillId="39" borderId="0" xfId="0" applyNumberFormat="1" applyFill="1" applyAlignment="1">
      <alignment/>
    </xf>
    <xf numFmtId="2" fontId="0" fillId="39" borderId="0" xfId="0" applyNumberFormat="1" applyFill="1" applyAlignment="1">
      <alignment/>
    </xf>
    <xf numFmtId="164" fontId="0" fillId="39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1" fontId="0" fillId="39" borderId="10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164" fontId="0" fillId="39" borderId="10" xfId="0" applyNumberFormat="1" applyFill="1" applyBorder="1" applyAlignment="1">
      <alignment/>
    </xf>
    <xf numFmtId="164" fontId="0" fillId="38" borderId="10" xfId="0" applyNumberFormat="1" applyFill="1" applyBorder="1" applyAlignment="1">
      <alignment/>
    </xf>
    <xf numFmtId="165" fontId="41" fillId="38" borderId="10" xfId="0" applyNumberFormat="1" applyFont="1" applyFill="1" applyBorder="1" applyAlignment="1">
      <alignment/>
    </xf>
    <xf numFmtId="165" fontId="41" fillId="39" borderId="10" xfId="0" applyNumberFormat="1" applyFont="1" applyFill="1" applyBorder="1" applyAlignment="1">
      <alignment/>
    </xf>
    <xf numFmtId="165" fontId="0" fillId="39" borderId="0" xfId="0" applyNumberFormat="1" applyFill="1" applyAlignment="1">
      <alignment/>
    </xf>
    <xf numFmtId="0" fontId="0" fillId="40" borderId="0" xfId="0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165" fontId="41" fillId="2" borderId="10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  <xf numFmtId="0" fontId="0" fillId="36" borderId="0" xfId="0" applyFill="1" applyAlignment="1">
      <alignment horizontal="center"/>
    </xf>
    <xf numFmtId="0" fontId="0" fillId="9" borderId="0" xfId="0" applyFill="1" applyAlignment="1">
      <alignment/>
    </xf>
    <xf numFmtId="1" fontId="0" fillId="14" borderId="0" xfId="0" applyNumberForma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42" fillId="0" borderId="0" xfId="0" applyFont="1" applyAlignment="1">
      <alignment/>
    </xf>
    <xf numFmtId="0" fontId="0" fillId="43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 horizontal="center"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42" borderId="0" xfId="0" applyNumberFormat="1" applyFill="1" applyAlignment="1">
      <alignment/>
    </xf>
    <xf numFmtId="0" fontId="0" fillId="13" borderId="0" xfId="0" applyFill="1" applyAlignment="1">
      <alignment/>
    </xf>
    <xf numFmtId="0" fontId="22" fillId="2" borderId="0" xfId="0" applyFont="1" applyFill="1" applyAlignment="1">
      <alignment/>
    </xf>
    <xf numFmtId="1" fontId="0" fillId="40" borderId="0" xfId="0" applyNumberFormat="1" applyFill="1" applyAlignment="1">
      <alignment/>
    </xf>
    <xf numFmtId="1" fontId="0" fillId="42" borderId="0" xfId="0" applyNumberFormat="1" applyFill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4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-0.00975"/>
          <c:w val="0.808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Sheet1!$N$5:$N$28</c:f>
              <c:numCache/>
            </c:numRef>
          </c:xVal>
          <c:yVal>
            <c:numRef>
              <c:f>Sheet1!$Q$5:$Q$28</c:f>
              <c:numCache/>
            </c:numRef>
          </c:yVal>
          <c:smooth val="0"/>
        </c:ser>
        <c:axId val="33395633"/>
        <c:axId val="32125242"/>
      </c:scatterChart>
      <c:valAx>
        <c:axId val="3339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25242"/>
        <c:crosses val="autoZero"/>
        <c:crossBetween val="midCat"/>
        <c:dispUnits/>
      </c:valAx>
      <c:valAx>
        <c:axId val="32125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956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-0.00975"/>
          <c:w val="0.81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Sheet1!$N$5:$N$28</c:f>
              <c:numCache/>
            </c:numRef>
          </c:xVal>
          <c:yVal>
            <c:numRef>
              <c:f>Sheet1!$AM$5:$AM$28</c:f>
              <c:numCache/>
            </c:numRef>
          </c:yVal>
          <c:smooth val="0"/>
        </c:ser>
        <c:axId val="66302555"/>
        <c:axId val="59852084"/>
      </c:scatterChart>
      <c:valAx>
        <c:axId val="663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52084"/>
        <c:crosses val="autoZero"/>
        <c:crossBetween val="midCat"/>
        <c:dispUnits/>
      </c:valAx>
      <c:valAx>
        <c:axId val="59852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CPUE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025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-0.00975"/>
          <c:w val="0.81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3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Sheet1!$O$5:$O$28</c:f>
              <c:numCache/>
            </c:numRef>
          </c:xVal>
          <c:yVal>
            <c:numRef>
              <c:f>Sheet1!$AM$5:$AM$28</c:f>
              <c:numCache/>
            </c:numRef>
          </c:yVal>
          <c:smooth val="0"/>
        </c:ser>
        <c:axId val="1797845"/>
        <c:axId val="16180606"/>
      </c:scatterChart>
      <c:valAx>
        <c:axId val="179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80606"/>
        <c:crosses val="autoZero"/>
        <c:crossBetween val="midCat"/>
        <c:dispUnits/>
      </c:valAx>
      <c:valAx>
        <c:axId val="16180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CPUE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-0.00475"/>
          <c:w val="0.91"/>
          <c:h val="0.9292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forward val="3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Sheet1!$O$5:$O$28</c:f>
              <c:numCache/>
            </c:numRef>
          </c:xVal>
          <c:yVal>
            <c:numRef>
              <c:f>Sheet1!$Q$5:$Q$28</c:f>
              <c:numCache/>
            </c:numRef>
          </c:yVal>
          <c:smooth val="0"/>
        </c:ser>
        <c:ser>
          <c:idx val="1"/>
          <c:order val="1"/>
          <c:tx>
            <c:v>BEST FIT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Sheet1!$AK$60:$AK$85</c:f>
              <c:numCache/>
            </c:numRef>
          </c:xVal>
          <c:yVal>
            <c:numRef>
              <c:f>Sheet1!$AL$60:$AL$85</c:f>
              <c:numCache/>
            </c:numRef>
          </c:yVal>
          <c:smooth val="0"/>
        </c:ser>
        <c:ser>
          <c:idx val="2"/>
          <c:order val="2"/>
          <c:tx>
            <c:v>WORST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Sheet1!$AK$60:$AK$85</c:f>
              <c:numCache/>
            </c:numRef>
          </c:xVal>
          <c:yVal>
            <c:numRef>
              <c:f>Sheet1!$AM$60:$AM$85</c:f>
              <c:numCache/>
            </c:numRef>
          </c:yVal>
          <c:smooth val="0"/>
        </c:ser>
        <c:ser>
          <c:idx val="3"/>
          <c:order val="3"/>
          <c:tx>
            <c:v>MEDIUM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Sheet1!$AK$60:$AK$85</c:f>
              <c:numCache/>
            </c:numRef>
          </c:xVal>
          <c:yVal>
            <c:numRef>
              <c:f>Sheet1!$AN$60:$AN$85</c:f>
              <c:numCache/>
            </c:numRef>
          </c:yVal>
          <c:smooth val="0"/>
        </c:ser>
        <c:axId val="11407727"/>
        <c:axId val="35560680"/>
      </c:scatterChart>
      <c:valAx>
        <c:axId val="1140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60680"/>
        <c:crosses val="autoZero"/>
        <c:crossBetween val="midCat"/>
        <c:dispUnits/>
      </c:valAx>
      <c:valAx>
        <c:axId val="355606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077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-0.00975"/>
          <c:w val="0.81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Sheet1!$BI$14:$BI$37</c:f>
              <c:numCache/>
            </c:numRef>
          </c:xVal>
          <c:yVal>
            <c:numRef>
              <c:f>Sheet1!$AO$16:$AO$39</c:f>
              <c:numCache/>
            </c:numRef>
          </c:yVal>
          <c:smooth val="0"/>
        </c:ser>
        <c:axId val="51610665"/>
        <c:axId val="61842802"/>
      </c:scatterChart>
      <c:val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SB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42802"/>
        <c:crosses val="autoZero"/>
        <c:crossBetween val="midCat"/>
        <c:dispUnits/>
      </c:valAx>
      <c:valAx>
        <c:axId val="6184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 index (CPUE 1+)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106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25"/>
          <c:y val="-0.00975"/>
          <c:w val="0.81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Sheet1!$N$5:$N$28</c:f>
              <c:numCache/>
            </c:numRef>
          </c:xVal>
          <c:yVal>
            <c:numRef>
              <c:f>Sheet1!$BI$5:$BI$28</c:f>
              <c:numCache/>
            </c:numRef>
          </c:yVal>
          <c:smooth val="0"/>
        </c:ser>
        <c:axId val="19714307"/>
        <c:axId val="43211036"/>
      </c:scatterChart>
      <c:val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11036"/>
        <c:crosses val="autoZero"/>
        <c:crossBetween val="midCat"/>
        <c:dispUnits/>
      </c:valAx>
      <c:valAx>
        <c:axId val="4321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SB index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143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25"/>
          <c:y val="-0.00975"/>
          <c:w val="0.81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Sheet1!$O$5:$O$28</c:f>
              <c:numCache/>
            </c:numRef>
          </c:xVal>
          <c:yVal>
            <c:numRef>
              <c:f>Sheet1!$BI$5:$BI$28</c:f>
              <c:numCache/>
            </c:numRef>
          </c:yVal>
          <c:smooth val="0"/>
        </c:ser>
        <c:axId val="53355005"/>
        <c:axId val="10432998"/>
      </c:scatterChart>
      <c:valAx>
        <c:axId val="5335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32998"/>
        <c:crosses val="autoZero"/>
        <c:crossBetween val="midCat"/>
        <c:dispUnits/>
      </c:valAx>
      <c:valAx>
        <c:axId val="1043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SB index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550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25"/>
          <c:y val="-0.00975"/>
          <c:w val="0.80675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Sheet1!$BG$4:$BG$28</c:f>
              <c:numCache/>
            </c:numRef>
          </c:xVal>
          <c:yVal>
            <c:numRef>
              <c:f>Sheet1!$BE$4:$BE$28</c:f>
              <c:numCache/>
            </c:numRef>
          </c:yVal>
          <c:smooth val="0"/>
        </c:ser>
        <c:axId val="26788119"/>
        <c:axId val="39766480"/>
      </c:scatterChart>
      <c:valAx>
        <c:axId val="2678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 f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6480"/>
        <c:crosses val="autoZero"/>
        <c:crossBetween val="midCat"/>
        <c:dispUnits/>
      </c:valAx>
      <c:valAx>
        <c:axId val="3976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 Z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881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25"/>
          <c:y val="-0.00975"/>
          <c:w val="0.80675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Sheet1!$BG$4:$BG$28</c:f>
              <c:numCache/>
            </c:numRef>
          </c:xVal>
          <c:yVal>
            <c:numRef>
              <c:f>Sheet1!$BF$4:$BF$28</c:f>
              <c:numCache/>
            </c:numRef>
          </c:yVal>
          <c:smooth val="0"/>
        </c:ser>
        <c:axId val="22354001"/>
        <c:axId val="66968282"/>
      </c:scatterChart>
      <c:valAx>
        <c:axId val="2235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 f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68282"/>
        <c:crosses val="autoZero"/>
        <c:crossBetween val="midCat"/>
        <c:dispUnits/>
      </c:valAx>
      <c:valAx>
        <c:axId val="6696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 Z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540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25"/>
          <c:y val="-0.00975"/>
          <c:w val="0.81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Sheet1!$BP$13:$BP$28</c:f>
              <c:numCache/>
            </c:numRef>
          </c:xVal>
          <c:yVal>
            <c:numRef>
              <c:f>Sheet1!$BH$13:$BH$28</c:f>
              <c:numCache/>
            </c:numRef>
          </c:yVal>
          <c:smooth val="0"/>
        </c:ser>
        <c:axId val="65843627"/>
        <c:axId val="55721732"/>
      </c:scatterChart>
      <c:valAx>
        <c:axId val="6584362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ECHO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21732"/>
        <c:crosses val="autoZero"/>
        <c:crossBetween val="midCat"/>
        <c:dispUnits/>
        <c:majorUnit val="200"/>
      </c:valAx>
      <c:valAx>
        <c:axId val="5572173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Stock estimate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436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-0.006"/>
          <c:w val="0.6347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v>Y/R FAST 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Sheet1!$CG$13:$CG$19</c:f>
              <c:numCache/>
            </c:numRef>
          </c:xVal>
          <c:yVal>
            <c:numRef>
              <c:f>Sheet1!$CI$13:$CI$19</c:f>
              <c:numCache/>
            </c:numRef>
          </c:yVal>
          <c:smooth val="0"/>
        </c:ser>
        <c:ser>
          <c:idx val="1"/>
          <c:order val="1"/>
          <c:tx>
            <c:v>Y/R SLOW 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Sheet1!$CG$13:$CG$19</c:f>
              <c:numCache/>
            </c:numRef>
          </c:xVal>
          <c:yVal>
            <c:numRef>
              <c:f>Sheet1!$CM$13:$CM$19</c:f>
              <c:numCache/>
            </c:numRef>
          </c:yVal>
          <c:smooth val="0"/>
        </c:ser>
        <c:ser>
          <c:idx val="2"/>
          <c:order val="2"/>
          <c:tx>
            <c:v>SB/R FAST G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Sheet1!$CG$14:$CG$19</c:f>
              <c:numCache/>
            </c:numRef>
          </c:xVal>
          <c:yVal>
            <c:numRef>
              <c:f>Sheet1!$CH$14:$CH$19</c:f>
              <c:numCache/>
            </c:numRef>
          </c:yVal>
          <c:smooth val="0"/>
        </c:ser>
        <c:ser>
          <c:idx val="3"/>
          <c:order val="3"/>
          <c:tx>
            <c:v>SB/R SLOW G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Sheet1!$CG$14:$CG$19</c:f>
              <c:numCache/>
            </c:numRef>
          </c:xVal>
          <c:yVal>
            <c:numRef>
              <c:f>Sheet1!$CL$14:$CL$19</c:f>
              <c:numCache/>
            </c:numRef>
          </c:yVal>
          <c:smooth val="0"/>
        </c:ser>
        <c:axId val="31733541"/>
        <c:axId val="17166414"/>
      </c:scatterChart>
      <c:valAx>
        <c:axId val="31733541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66414"/>
        <c:crosses val="autoZero"/>
        <c:crossBetween val="midCat"/>
        <c:dispUnits/>
        <c:majorUnit val="0.2"/>
        <c:minorUnit val="0.04000000000000001"/>
      </c:valAx>
      <c:valAx>
        <c:axId val="1716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kg/1000 kg 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335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37875"/>
          <c:w val="0.244"/>
          <c:h val="0.2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75"/>
          <c:y val="-0.00975"/>
          <c:w val="0.83125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Sheet1!$N$5:$N$28</c:f>
              <c:numCache/>
            </c:numRef>
          </c:xVal>
          <c:yVal>
            <c:numRef>
              <c:f>Sheet1!$R$5:$R$28</c:f>
              <c:numCache/>
            </c:numRef>
          </c:yVal>
          <c:smooth val="0"/>
        </c:ser>
        <c:axId val="20691723"/>
        <c:axId val="52007780"/>
      </c:scatterChart>
      <c:valAx>
        <c:axId val="2069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07780"/>
        <c:crosses val="autoZero"/>
        <c:crossBetween val="midCat"/>
        <c:dispUnits/>
      </c:valAx>
      <c:valAx>
        <c:axId val="5200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YPUE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917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"/>
          <c:y val="-0.00975"/>
          <c:w val="0.81925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Sheet1!$N$5:$N$27</c:f>
              <c:numCache/>
            </c:numRef>
          </c:xVal>
          <c:yVal>
            <c:numRef>
              <c:f>Sheet1!$P$5:$P$27</c:f>
              <c:numCache/>
            </c:numRef>
          </c:yVal>
          <c:smooth val="0"/>
        </c:ser>
        <c:axId val="65416837"/>
        <c:axId val="51880622"/>
      </c:scatterChart>
      <c:valAx>
        <c:axId val="6541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80622"/>
        <c:crosses val="autoZero"/>
        <c:crossBetween val="midCat"/>
        <c:dispUnits/>
      </c:valAx>
      <c:valAx>
        <c:axId val="5188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168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-0.00975"/>
          <c:w val="0.808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forward val="3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Sheet1!$O$5:$O$28</c:f>
              <c:numCache/>
            </c:numRef>
          </c:xVal>
          <c:yVal>
            <c:numRef>
              <c:f>Sheet1!$Q$5:$Q$28</c:f>
              <c:numCache/>
            </c:numRef>
          </c:yVal>
          <c:smooth val="0"/>
        </c:ser>
        <c:axId val="64272415"/>
        <c:axId val="41580824"/>
      </c:scatterChart>
      <c:valAx>
        <c:axId val="6427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824"/>
        <c:crosses val="autoZero"/>
        <c:crossBetween val="midCat"/>
        <c:dispUnits/>
      </c:valAx>
      <c:valAx>
        <c:axId val="4158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724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"/>
          <c:y val="-0.00975"/>
          <c:w val="0.81925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forward val="3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Sheet1!$O$5:$O$27</c:f>
              <c:numCache/>
            </c:numRef>
          </c:xVal>
          <c:yVal>
            <c:numRef>
              <c:f>Sheet1!$P$5:$P$27</c:f>
              <c:numCache/>
            </c:numRef>
          </c:yVal>
          <c:smooth val="0"/>
        </c:ser>
        <c:axId val="38683097"/>
        <c:axId val="12603554"/>
      </c:scatterChart>
      <c:valAx>
        <c:axId val="38683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03554"/>
        <c:crosses val="autoZero"/>
        <c:crossBetween val="midCat"/>
        <c:dispUnits/>
      </c:valAx>
      <c:valAx>
        <c:axId val="1260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830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75"/>
          <c:y val="-0.00975"/>
          <c:w val="0.83125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3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Sheet1!$O$5:$O$28</c:f>
              <c:numCache/>
            </c:numRef>
          </c:xVal>
          <c:yVal>
            <c:numRef>
              <c:f>Sheet1!$R$5:$R$28</c:f>
              <c:numCache/>
            </c:numRef>
          </c:yVal>
          <c:smooth val="0"/>
        </c:ser>
        <c:axId val="46323123"/>
        <c:axId val="14254924"/>
      </c:scatterChart>
      <c:valAx>
        <c:axId val="4632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54924"/>
        <c:crosses val="autoZero"/>
        <c:crossBetween val="midCat"/>
        <c:dispUnits/>
      </c:valAx>
      <c:valAx>
        <c:axId val="1425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YPUE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231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"/>
          <c:y val="-0.00975"/>
          <c:w val="0.80575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Sheet1!$BG$4:$BG$28</c:f>
              <c:numCache/>
            </c:numRef>
          </c:xVal>
          <c:yVal>
            <c:numRef>
              <c:f>Sheet1!$BB$4:$BB$28</c:f>
              <c:numCache/>
            </c:numRef>
          </c:yVal>
          <c:smooth val="0"/>
        </c:ser>
        <c:axId val="61185453"/>
        <c:axId val="13798166"/>
      </c:scatterChart>
      <c:valAx>
        <c:axId val="611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 f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98166"/>
        <c:crosses val="autoZero"/>
        <c:crossBetween val="midCat"/>
        <c:dispUnits/>
      </c:valAx>
      <c:valAx>
        <c:axId val="1379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 Z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854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25"/>
          <c:y val="-0.00975"/>
          <c:w val="0.80675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Sheet1!$BG$4:$BG$24</c:f>
              <c:numCache/>
            </c:numRef>
          </c:xVal>
          <c:yVal>
            <c:numRef>
              <c:f>Sheet1!$BC$4:$BC$24</c:f>
              <c:numCache/>
            </c:numRef>
          </c:yVal>
          <c:smooth val="0"/>
        </c:ser>
        <c:axId val="57074631"/>
        <c:axId val="43909632"/>
      </c:scatterChart>
      <c:valAx>
        <c:axId val="5707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 f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09632"/>
        <c:crosses val="autoZero"/>
        <c:crossBetween val="midCat"/>
        <c:dispUnits/>
      </c:valAx>
      <c:valAx>
        <c:axId val="4390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 Z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6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25"/>
          <c:y val="-0.00975"/>
          <c:w val="0.80675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Sheet1!$BG$4:$BG$28</c:f>
              <c:numCache/>
            </c:numRef>
          </c:xVal>
          <c:yVal>
            <c:numRef>
              <c:f>Sheet1!$BD$4:$BD$28</c:f>
              <c:numCache/>
            </c:numRef>
          </c:yVal>
          <c:smooth val="0"/>
        </c:ser>
        <c:axId val="59642369"/>
        <c:axId val="67019274"/>
      </c:scatterChart>
      <c:valAx>
        <c:axId val="5964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 f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19274"/>
        <c:crosses val="autoZero"/>
        <c:crossBetween val="midCat"/>
        <c:dispUnits/>
      </c:valAx>
      <c:valAx>
        <c:axId val="6701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 Z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423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28</xdr:row>
      <xdr:rowOff>76200</xdr:rowOff>
    </xdr:from>
    <xdr:to>
      <xdr:col>34</xdr:col>
      <xdr:colOff>295275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8115300" y="5410200"/>
        <a:ext cx="28289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323850</xdr:colOff>
      <xdr:row>28</xdr:row>
      <xdr:rowOff>76200</xdr:rowOff>
    </xdr:from>
    <xdr:to>
      <xdr:col>41</xdr:col>
      <xdr:colOff>247650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10972800" y="5410200"/>
        <a:ext cx="32194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180975</xdr:colOff>
      <xdr:row>28</xdr:row>
      <xdr:rowOff>76200</xdr:rowOff>
    </xdr:from>
    <xdr:to>
      <xdr:col>25</xdr:col>
      <xdr:colOff>247650</xdr:colOff>
      <xdr:row>41</xdr:row>
      <xdr:rowOff>47625</xdr:rowOff>
    </xdr:to>
    <xdr:graphicFrame>
      <xdr:nvGraphicFramePr>
        <xdr:cNvPr id="3" name="Chart 3"/>
        <xdr:cNvGraphicFramePr/>
      </xdr:nvGraphicFramePr>
      <xdr:xfrm>
        <a:off x="5057775" y="5410200"/>
        <a:ext cx="30099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38100</xdr:colOff>
      <xdr:row>41</xdr:row>
      <xdr:rowOff>114300</xdr:rowOff>
    </xdr:from>
    <xdr:to>
      <xdr:col>34</xdr:col>
      <xdr:colOff>285750</xdr:colOff>
      <xdr:row>54</xdr:row>
      <xdr:rowOff>85725</xdr:rowOff>
    </xdr:to>
    <xdr:graphicFrame>
      <xdr:nvGraphicFramePr>
        <xdr:cNvPr id="4" name="Chart 1"/>
        <xdr:cNvGraphicFramePr/>
      </xdr:nvGraphicFramePr>
      <xdr:xfrm>
        <a:off x="8105775" y="7924800"/>
        <a:ext cx="282892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171450</xdr:colOff>
      <xdr:row>41</xdr:row>
      <xdr:rowOff>104775</xdr:rowOff>
    </xdr:from>
    <xdr:to>
      <xdr:col>25</xdr:col>
      <xdr:colOff>238125</xdr:colOff>
      <xdr:row>54</xdr:row>
      <xdr:rowOff>76200</xdr:rowOff>
    </xdr:to>
    <xdr:graphicFrame>
      <xdr:nvGraphicFramePr>
        <xdr:cNvPr id="5" name="Chart 1"/>
        <xdr:cNvGraphicFramePr/>
      </xdr:nvGraphicFramePr>
      <xdr:xfrm>
        <a:off x="5048250" y="7915275"/>
        <a:ext cx="3009900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34</xdr:col>
      <xdr:colOff>342900</xdr:colOff>
      <xdr:row>41</xdr:row>
      <xdr:rowOff>123825</xdr:rowOff>
    </xdr:from>
    <xdr:to>
      <xdr:col>41</xdr:col>
      <xdr:colOff>266700</xdr:colOff>
      <xdr:row>54</xdr:row>
      <xdr:rowOff>95250</xdr:rowOff>
    </xdr:to>
    <xdr:graphicFrame>
      <xdr:nvGraphicFramePr>
        <xdr:cNvPr id="6" name="Chart 1"/>
        <xdr:cNvGraphicFramePr/>
      </xdr:nvGraphicFramePr>
      <xdr:xfrm>
        <a:off x="10991850" y="7934325"/>
        <a:ext cx="3219450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56</xdr:col>
      <xdr:colOff>152400</xdr:colOff>
      <xdr:row>28</xdr:row>
      <xdr:rowOff>95250</xdr:rowOff>
    </xdr:from>
    <xdr:to>
      <xdr:col>60</xdr:col>
      <xdr:colOff>561975</xdr:colOff>
      <xdr:row>41</xdr:row>
      <xdr:rowOff>66675</xdr:rowOff>
    </xdr:to>
    <xdr:graphicFrame>
      <xdr:nvGraphicFramePr>
        <xdr:cNvPr id="7" name="Chart 2"/>
        <xdr:cNvGraphicFramePr/>
      </xdr:nvGraphicFramePr>
      <xdr:xfrm>
        <a:off x="23155275" y="5429250"/>
        <a:ext cx="2847975" cy="2447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61</xdr:col>
      <xdr:colOff>57150</xdr:colOff>
      <xdr:row>28</xdr:row>
      <xdr:rowOff>104775</xdr:rowOff>
    </xdr:from>
    <xdr:to>
      <xdr:col>65</xdr:col>
      <xdr:colOff>476250</xdr:colOff>
      <xdr:row>41</xdr:row>
      <xdr:rowOff>76200</xdr:rowOff>
    </xdr:to>
    <xdr:graphicFrame>
      <xdr:nvGraphicFramePr>
        <xdr:cNvPr id="8" name="Chart 2"/>
        <xdr:cNvGraphicFramePr/>
      </xdr:nvGraphicFramePr>
      <xdr:xfrm>
        <a:off x="26108025" y="5438775"/>
        <a:ext cx="2857500" cy="244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65</xdr:col>
      <xdr:colOff>561975</xdr:colOff>
      <xdr:row>28</xdr:row>
      <xdr:rowOff>95250</xdr:rowOff>
    </xdr:from>
    <xdr:to>
      <xdr:col>70</xdr:col>
      <xdr:colOff>371475</xdr:colOff>
      <xdr:row>41</xdr:row>
      <xdr:rowOff>66675</xdr:rowOff>
    </xdr:to>
    <xdr:graphicFrame>
      <xdr:nvGraphicFramePr>
        <xdr:cNvPr id="9" name="Chart 2"/>
        <xdr:cNvGraphicFramePr/>
      </xdr:nvGraphicFramePr>
      <xdr:xfrm>
        <a:off x="29051250" y="5429250"/>
        <a:ext cx="2857500" cy="2447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314325</xdr:colOff>
      <xdr:row>28</xdr:row>
      <xdr:rowOff>66675</xdr:rowOff>
    </xdr:from>
    <xdr:to>
      <xdr:col>46</xdr:col>
      <xdr:colOff>533400</xdr:colOff>
      <xdr:row>41</xdr:row>
      <xdr:rowOff>38100</xdr:rowOff>
    </xdr:to>
    <xdr:graphicFrame>
      <xdr:nvGraphicFramePr>
        <xdr:cNvPr id="10" name="Chart 2"/>
        <xdr:cNvGraphicFramePr/>
      </xdr:nvGraphicFramePr>
      <xdr:xfrm>
        <a:off x="14258925" y="5400675"/>
        <a:ext cx="2857500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41</xdr:col>
      <xdr:colOff>314325</xdr:colOff>
      <xdr:row>41</xdr:row>
      <xdr:rowOff>114300</xdr:rowOff>
    </xdr:from>
    <xdr:to>
      <xdr:col>46</xdr:col>
      <xdr:colOff>533400</xdr:colOff>
      <xdr:row>54</xdr:row>
      <xdr:rowOff>85725</xdr:rowOff>
    </xdr:to>
    <xdr:graphicFrame>
      <xdr:nvGraphicFramePr>
        <xdr:cNvPr id="11" name="Chart 1"/>
        <xdr:cNvGraphicFramePr/>
      </xdr:nvGraphicFramePr>
      <xdr:xfrm>
        <a:off x="14258925" y="7924800"/>
        <a:ext cx="2857500" cy="2447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114300</xdr:colOff>
      <xdr:row>56</xdr:row>
      <xdr:rowOff>171450</xdr:rowOff>
    </xdr:from>
    <xdr:to>
      <xdr:col>34</xdr:col>
      <xdr:colOff>304800</xdr:colOff>
      <xdr:row>82</xdr:row>
      <xdr:rowOff>123825</xdr:rowOff>
    </xdr:to>
    <xdr:graphicFrame>
      <xdr:nvGraphicFramePr>
        <xdr:cNvPr id="12" name="Chart 1"/>
        <xdr:cNvGraphicFramePr/>
      </xdr:nvGraphicFramePr>
      <xdr:xfrm>
        <a:off x="4991100" y="10839450"/>
        <a:ext cx="5962650" cy="4905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209550</xdr:colOff>
      <xdr:row>28</xdr:row>
      <xdr:rowOff>66675</xdr:rowOff>
    </xdr:from>
    <xdr:to>
      <xdr:col>56</xdr:col>
      <xdr:colOff>19050</xdr:colOff>
      <xdr:row>41</xdr:row>
      <xdr:rowOff>38100</xdr:rowOff>
    </xdr:to>
    <xdr:graphicFrame>
      <xdr:nvGraphicFramePr>
        <xdr:cNvPr id="13" name="Chart 2"/>
        <xdr:cNvGraphicFramePr/>
      </xdr:nvGraphicFramePr>
      <xdr:xfrm>
        <a:off x="20164425" y="5400675"/>
        <a:ext cx="2857500" cy="2447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46</xdr:col>
      <xdr:colOff>676275</xdr:colOff>
      <xdr:row>28</xdr:row>
      <xdr:rowOff>66675</xdr:rowOff>
    </xdr:from>
    <xdr:to>
      <xdr:col>51</xdr:col>
      <xdr:colOff>161925</xdr:colOff>
      <xdr:row>41</xdr:row>
      <xdr:rowOff>38100</xdr:rowOff>
    </xdr:to>
    <xdr:graphicFrame>
      <xdr:nvGraphicFramePr>
        <xdr:cNvPr id="14" name="Chart 2"/>
        <xdr:cNvGraphicFramePr/>
      </xdr:nvGraphicFramePr>
      <xdr:xfrm>
        <a:off x="17259300" y="5400675"/>
        <a:ext cx="2857500" cy="2447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46</xdr:col>
      <xdr:colOff>666750</xdr:colOff>
      <xdr:row>41</xdr:row>
      <xdr:rowOff>142875</xdr:rowOff>
    </xdr:from>
    <xdr:to>
      <xdr:col>51</xdr:col>
      <xdr:colOff>152400</xdr:colOff>
      <xdr:row>54</xdr:row>
      <xdr:rowOff>114300</xdr:rowOff>
    </xdr:to>
    <xdr:graphicFrame>
      <xdr:nvGraphicFramePr>
        <xdr:cNvPr id="15" name="Chart 2"/>
        <xdr:cNvGraphicFramePr/>
      </xdr:nvGraphicFramePr>
      <xdr:xfrm>
        <a:off x="17249775" y="7953375"/>
        <a:ext cx="2857500" cy="2447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70</xdr:col>
      <xdr:colOff>476250</xdr:colOff>
      <xdr:row>28</xdr:row>
      <xdr:rowOff>95250</xdr:rowOff>
    </xdr:from>
    <xdr:to>
      <xdr:col>75</xdr:col>
      <xdr:colOff>285750</xdr:colOff>
      <xdr:row>41</xdr:row>
      <xdr:rowOff>66675</xdr:rowOff>
    </xdr:to>
    <xdr:graphicFrame>
      <xdr:nvGraphicFramePr>
        <xdr:cNvPr id="16" name="Chart 2"/>
        <xdr:cNvGraphicFramePr/>
      </xdr:nvGraphicFramePr>
      <xdr:xfrm>
        <a:off x="32013525" y="5429250"/>
        <a:ext cx="2857500" cy="2447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75</xdr:col>
      <xdr:colOff>400050</xdr:colOff>
      <xdr:row>28</xdr:row>
      <xdr:rowOff>95250</xdr:rowOff>
    </xdr:from>
    <xdr:to>
      <xdr:col>80</xdr:col>
      <xdr:colOff>209550</xdr:colOff>
      <xdr:row>41</xdr:row>
      <xdr:rowOff>66675</xdr:rowOff>
    </xdr:to>
    <xdr:graphicFrame>
      <xdr:nvGraphicFramePr>
        <xdr:cNvPr id="17" name="Chart 2"/>
        <xdr:cNvGraphicFramePr/>
      </xdr:nvGraphicFramePr>
      <xdr:xfrm>
        <a:off x="34985325" y="5429250"/>
        <a:ext cx="2857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56</xdr:col>
      <xdr:colOff>152400</xdr:colOff>
      <xdr:row>41</xdr:row>
      <xdr:rowOff>161925</xdr:rowOff>
    </xdr:from>
    <xdr:to>
      <xdr:col>60</xdr:col>
      <xdr:colOff>571500</xdr:colOff>
      <xdr:row>54</xdr:row>
      <xdr:rowOff>133350</xdr:rowOff>
    </xdr:to>
    <xdr:graphicFrame>
      <xdr:nvGraphicFramePr>
        <xdr:cNvPr id="18" name="Chart 2"/>
        <xdr:cNvGraphicFramePr/>
      </xdr:nvGraphicFramePr>
      <xdr:xfrm>
        <a:off x="23155275" y="7972425"/>
        <a:ext cx="2857500" cy="24479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84</xdr:col>
      <xdr:colOff>342900</xdr:colOff>
      <xdr:row>21</xdr:row>
      <xdr:rowOff>171450</xdr:rowOff>
    </xdr:from>
    <xdr:to>
      <xdr:col>91</xdr:col>
      <xdr:colOff>533400</xdr:colOff>
      <xdr:row>42</xdr:row>
      <xdr:rowOff>104775</xdr:rowOff>
    </xdr:to>
    <xdr:graphicFrame>
      <xdr:nvGraphicFramePr>
        <xdr:cNvPr id="19" name="Chart 19"/>
        <xdr:cNvGraphicFramePr/>
      </xdr:nvGraphicFramePr>
      <xdr:xfrm>
        <a:off x="40414575" y="4171950"/>
        <a:ext cx="4457700" cy="3933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85"/>
  <sheetViews>
    <sheetView tabSelected="1" zoomScalePageLayoutView="0" workbookViewId="0" topLeftCell="AQ1">
      <pane ySplit="900" topLeftCell="A1" activePane="bottomLeft" state="split"/>
      <selection pane="topLeft" activeCell="AJ13" sqref="AJ13"/>
      <selection pane="bottomLeft" activeCell="BC56" sqref="BC56"/>
    </sheetView>
  </sheetViews>
  <sheetFormatPr defaultColWidth="9.140625" defaultRowHeight="15"/>
  <cols>
    <col min="1" max="8" width="3.00390625" style="0" customWidth="1"/>
    <col min="9" max="9" width="8.8515625" style="0" customWidth="1"/>
    <col min="10" max="11" width="6.57421875" style="0" customWidth="1"/>
    <col min="12" max="12" width="8.00390625" style="0" customWidth="1"/>
    <col min="13" max="13" width="3.00390625" style="0" customWidth="1"/>
    <col min="14" max="14" width="5.421875" style="0" customWidth="1"/>
    <col min="15" max="15" width="4.28125" style="0" customWidth="1"/>
    <col min="16" max="16" width="6.421875" style="0" customWidth="1"/>
    <col min="17" max="17" width="5.8515625" style="0" customWidth="1"/>
    <col min="18" max="18" width="10.28125" style="0" customWidth="1"/>
    <col min="19" max="19" width="5.7109375" style="0" customWidth="1"/>
    <col min="20" max="27" width="3.7109375" style="0" customWidth="1"/>
    <col min="28" max="34" width="5.00390625" style="0" customWidth="1"/>
    <col min="35" max="36" width="5.57421875" style="0" customWidth="1"/>
    <col min="37" max="37" width="8.140625" style="0" customWidth="1"/>
    <col min="39" max="45" width="7.00390625" style="0" customWidth="1"/>
    <col min="46" max="48" width="11.57421875" style="0" customWidth="1"/>
  </cols>
  <sheetData>
    <row r="1" spans="21:91" ht="15">
      <c r="U1" s="52" t="s">
        <v>17</v>
      </c>
      <c r="V1" s="52"/>
      <c r="W1" s="52"/>
      <c r="X1" s="52"/>
      <c r="Y1" s="52"/>
      <c r="Z1" s="52"/>
      <c r="AA1" s="52"/>
      <c r="AB1" s="53" t="s">
        <v>18</v>
      </c>
      <c r="AC1" s="53"/>
      <c r="AD1" s="53"/>
      <c r="AE1" s="53"/>
      <c r="AF1" s="53"/>
      <c r="AG1" s="53"/>
      <c r="AH1" s="53"/>
      <c r="AI1" s="53"/>
      <c r="AJ1" s="44"/>
      <c r="AM1" s="52" t="s">
        <v>20</v>
      </c>
      <c r="AN1" s="52"/>
      <c r="AO1" s="52"/>
      <c r="AP1" s="52"/>
      <c r="AQ1" s="52"/>
      <c r="AR1" s="52"/>
      <c r="AS1" s="52"/>
      <c r="AT1" s="52"/>
      <c r="AU1" s="53" t="s">
        <v>21</v>
      </c>
      <c r="AV1" s="53"/>
      <c r="AW1" s="53"/>
      <c r="AX1" s="53"/>
      <c r="AY1" s="53"/>
      <c r="AZ1" s="53"/>
      <c r="BA1" s="53" t="s">
        <v>31</v>
      </c>
      <c r="BB1" s="53"/>
      <c r="BC1" s="53"/>
      <c r="BD1" s="53"/>
      <c r="BE1" s="53"/>
      <c r="BF1" s="53"/>
      <c r="BG1" t="s">
        <v>3</v>
      </c>
      <c r="BH1" t="s">
        <v>38</v>
      </c>
      <c r="BI1" t="s">
        <v>41</v>
      </c>
      <c r="BJ1" t="s">
        <v>48</v>
      </c>
      <c r="BK1" t="s">
        <v>45</v>
      </c>
      <c r="BS1" t="s">
        <v>50</v>
      </c>
      <c r="BY1" s="56" t="s">
        <v>51</v>
      </c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</row>
    <row r="2" spans="1:62" ht="15">
      <c r="A2" t="s">
        <v>7</v>
      </c>
      <c r="B2" t="s">
        <v>8</v>
      </c>
      <c r="C2" t="s">
        <v>9</v>
      </c>
      <c r="I2" t="s">
        <v>28</v>
      </c>
      <c r="J2" t="s">
        <v>29</v>
      </c>
      <c r="K2" t="s">
        <v>39</v>
      </c>
      <c r="L2" t="s">
        <v>30</v>
      </c>
      <c r="N2" s="4" t="s">
        <v>0</v>
      </c>
      <c r="O2" s="4" t="s">
        <v>1</v>
      </c>
      <c r="P2" s="4" t="s">
        <v>3</v>
      </c>
      <c r="Q2" s="4" t="s">
        <v>2</v>
      </c>
      <c r="R2" s="4" t="s">
        <v>4</v>
      </c>
      <c r="S2" s="4" t="s">
        <v>32</v>
      </c>
      <c r="U2" s="6" t="s">
        <v>10</v>
      </c>
      <c r="V2" s="6" t="s">
        <v>11</v>
      </c>
      <c r="W2" s="6" t="s">
        <v>12</v>
      </c>
      <c r="X2" s="6" t="s">
        <v>13</v>
      </c>
      <c r="Y2" s="6" t="s">
        <v>14</v>
      </c>
      <c r="Z2" s="6" t="s">
        <v>15</v>
      </c>
      <c r="AA2" s="6" t="s">
        <v>16</v>
      </c>
      <c r="AB2" s="7" t="s">
        <v>10</v>
      </c>
      <c r="AC2" s="7" t="s">
        <v>11</v>
      </c>
      <c r="AD2" s="7" t="s">
        <v>12</v>
      </c>
      <c r="AE2" s="7" t="s">
        <v>13</v>
      </c>
      <c r="AF2" s="7" t="s">
        <v>14</v>
      </c>
      <c r="AG2" s="7" t="s">
        <v>15</v>
      </c>
      <c r="AH2" s="7" t="s">
        <v>16</v>
      </c>
      <c r="AI2" s="7" t="s">
        <v>19</v>
      </c>
      <c r="AJ2" s="44" t="s">
        <v>40</v>
      </c>
      <c r="AK2" s="5" t="s">
        <v>5</v>
      </c>
      <c r="AL2" s="5" t="s">
        <v>6</v>
      </c>
      <c r="AM2" s="6" t="s">
        <v>19</v>
      </c>
      <c r="AN2" s="6" t="s">
        <v>10</v>
      </c>
      <c r="AO2" s="6" t="s">
        <v>11</v>
      </c>
      <c r="AP2" s="6" t="s">
        <v>12</v>
      </c>
      <c r="AQ2" s="6" t="s">
        <v>13</v>
      </c>
      <c r="AR2" s="6" t="s">
        <v>14</v>
      </c>
      <c r="AS2" s="6" t="s">
        <v>15</v>
      </c>
      <c r="AT2" s="6" t="s">
        <v>16</v>
      </c>
      <c r="AU2" s="7" t="s">
        <v>22</v>
      </c>
      <c r="AV2" s="7" t="s">
        <v>23</v>
      </c>
      <c r="AW2" s="7" t="s">
        <v>24</v>
      </c>
      <c r="AX2" s="7" t="s">
        <v>25</v>
      </c>
      <c r="AY2" s="7" t="s">
        <v>26</v>
      </c>
      <c r="AZ2" s="7" t="s">
        <v>27</v>
      </c>
      <c r="BA2" s="36" t="s">
        <v>22</v>
      </c>
      <c r="BB2" s="36" t="s">
        <v>23</v>
      </c>
      <c r="BC2" s="36" t="s">
        <v>24</v>
      </c>
      <c r="BD2" s="36" t="s">
        <v>25</v>
      </c>
      <c r="BE2" s="36" t="s">
        <v>26</v>
      </c>
      <c r="BF2" s="36" t="s">
        <v>27</v>
      </c>
      <c r="BJ2" s="40" t="s">
        <v>49</v>
      </c>
    </row>
    <row r="3" ht="15">
      <c r="BJ3" t="s">
        <v>62</v>
      </c>
    </row>
    <row r="4" spans="38:69" ht="15">
      <c r="AL4" s="3"/>
      <c r="BJ4" t="s">
        <v>44</v>
      </c>
      <c r="BK4" t="s">
        <v>23</v>
      </c>
      <c r="BL4" t="s">
        <v>24</v>
      </c>
      <c r="BM4" t="s">
        <v>25</v>
      </c>
      <c r="BN4" t="s">
        <v>26</v>
      </c>
      <c r="BO4" t="s">
        <v>27</v>
      </c>
      <c r="BP4" t="s">
        <v>46</v>
      </c>
      <c r="BQ4" t="s">
        <v>47</v>
      </c>
    </row>
    <row r="5" spans="9:67" ht="15">
      <c r="I5">
        <f aca="true" t="shared" si="0" ref="I5:I18">500*O5</f>
        <v>1000</v>
      </c>
      <c r="L5">
        <f>SUM($I$5:I5)-SUM($J$5:J5)</f>
        <v>1000</v>
      </c>
      <c r="N5">
        <v>2006</v>
      </c>
      <c r="O5">
        <v>2</v>
      </c>
      <c r="P5" s="1">
        <v>200</v>
      </c>
      <c r="Q5" s="1">
        <v>50</v>
      </c>
      <c r="R5" s="2">
        <f>Q5/P5*1000</f>
        <v>250</v>
      </c>
      <c r="S5" s="2">
        <f>Q5/O5</f>
        <v>25</v>
      </c>
      <c r="T5" s="2"/>
      <c r="U5" s="18"/>
      <c r="AB5" s="18"/>
      <c r="AK5" s="18"/>
      <c r="AL5" s="3">
        <f aca="true" t="shared" si="1" ref="AL5:AL14">Q5*1000/40000</f>
        <v>1.25</v>
      </c>
      <c r="AM5" s="18"/>
      <c r="AU5" s="18"/>
      <c r="BJ5" t="s">
        <v>42</v>
      </c>
      <c r="BK5" s="55">
        <f>INTERCEPT(BB14:BB28,$BG$14:$BG$28)</f>
        <v>0.5075519784521674</v>
      </c>
      <c r="BL5" s="55">
        <f>INTERCEPT(BC14:BC28,$BG$14:$BG$28)</f>
        <v>0.8116084279439222</v>
      </c>
      <c r="BM5" s="55">
        <f>INTERCEPT(BD14:BD28,$BG$14:$BG$28)</f>
        <v>1.0263472587349027</v>
      </c>
      <c r="BN5" s="55">
        <f>INTERCEPT(BE14:BE28,$BG$14:$BG$28)</f>
        <v>1.2241351952888548</v>
      </c>
      <c r="BO5" s="55">
        <f>INTERCEPT(BF14:BF28,$BG$14:$BG$28)</f>
        <v>1.4229659243734614</v>
      </c>
    </row>
    <row r="6" spans="9:67" ht="15">
      <c r="I6">
        <f t="shared" si="0"/>
        <v>1000</v>
      </c>
      <c r="L6">
        <f>SUM($I$5:I6)-SUM($J$5:J6)</f>
        <v>2000</v>
      </c>
      <c r="N6">
        <v>2007</v>
      </c>
      <c r="O6">
        <v>2</v>
      </c>
      <c r="P6" s="1">
        <v>250</v>
      </c>
      <c r="Q6" s="1">
        <v>45</v>
      </c>
      <c r="R6" s="2">
        <f aca="true" t="shared" si="2" ref="R6:R12">Q6/P6*1000</f>
        <v>180</v>
      </c>
      <c r="S6" s="2">
        <f aca="true" t="shared" si="3" ref="S6:S17">Q6/O6</f>
        <v>22.5</v>
      </c>
      <c r="T6" s="2"/>
      <c r="U6" s="18"/>
      <c r="AB6" s="18"/>
      <c r="AK6" s="18"/>
      <c r="AL6" s="3">
        <f t="shared" si="1"/>
        <v>1.125</v>
      </c>
      <c r="AM6" s="18"/>
      <c r="AU6" s="18"/>
      <c r="BJ6" t="s">
        <v>43</v>
      </c>
      <c r="BK6" s="54">
        <f>SLOPE(BB14:BB28,$BG$14:$BG$28)</f>
        <v>0.0007436003365741647</v>
      </c>
      <c r="BL6" s="54">
        <f>SLOPE(BC14:BC28,$BG$14:$BG$28)</f>
        <v>0.0006604602843022149</v>
      </c>
      <c r="BM6" s="54">
        <f>SLOPE(BD14:BD28,$BG$14:$BG$28)</f>
        <v>0.0006468977005370353</v>
      </c>
      <c r="BN6" s="54">
        <f>SLOPE(BE14:BE28,$BG$14:$BG$28)</f>
        <v>0.0006420377975433145</v>
      </c>
      <c r="BO6" s="54">
        <f>SLOPE(BF14:BF28,$BG$14:$BG$28)</f>
        <v>0.0006408743551558546</v>
      </c>
    </row>
    <row r="7" spans="9:47" ht="15">
      <c r="I7">
        <f t="shared" si="0"/>
        <v>1000</v>
      </c>
      <c r="L7">
        <f>SUM($I$5:I7)-SUM($J$5:J7)</f>
        <v>3000</v>
      </c>
      <c r="N7">
        <v>2008</v>
      </c>
      <c r="O7">
        <v>2</v>
      </c>
      <c r="P7" s="1">
        <v>250</v>
      </c>
      <c r="Q7" s="1">
        <v>45</v>
      </c>
      <c r="R7" s="2">
        <f t="shared" si="2"/>
        <v>180</v>
      </c>
      <c r="S7" s="2">
        <f t="shared" si="3"/>
        <v>22.5</v>
      </c>
      <c r="T7" s="2"/>
      <c r="U7" s="18"/>
      <c r="AB7" s="18"/>
      <c r="AK7" s="18"/>
      <c r="AL7" s="3">
        <f t="shared" si="1"/>
        <v>1.125</v>
      </c>
      <c r="AM7" s="18"/>
      <c r="AU7" s="18"/>
    </row>
    <row r="8" spans="9:47" ht="15">
      <c r="I8">
        <f t="shared" si="0"/>
        <v>1000</v>
      </c>
      <c r="L8">
        <f>SUM($I$5:I8)-SUM($J$5:J8)</f>
        <v>4000</v>
      </c>
      <c r="N8">
        <v>2009</v>
      </c>
      <c r="O8">
        <v>2</v>
      </c>
      <c r="P8" s="1">
        <v>350</v>
      </c>
      <c r="Q8" s="1">
        <v>40</v>
      </c>
      <c r="R8" s="2">
        <f t="shared" si="2"/>
        <v>114.28571428571428</v>
      </c>
      <c r="S8" s="2">
        <f t="shared" si="3"/>
        <v>20</v>
      </c>
      <c r="T8" s="2"/>
      <c r="U8" s="18"/>
      <c r="AB8" s="18"/>
      <c r="AK8" s="18"/>
      <c r="AL8" s="3">
        <f t="shared" si="1"/>
        <v>1</v>
      </c>
      <c r="AM8" s="18"/>
      <c r="AU8" s="18"/>
    </row>
    <row r="9" spans="9:47" ht="15">
      <c r="I9">
        <f t="shared" si="0"/>
        <v>1000</v>
      </c>
      <c r="L9">
        <f>SUM($I$5:I9)-SUM($J$5:J9)</f>
        <v>5000</v>
      </c>
      <c r="N9">
        <v>2010</v>
      </c>
      <c r="O9">
        <v>2</v>
      </c>
      <c r="P9" s="1">
        <v>350</v>
      </c>
      <c r="Q9" s="1">
        <v>40</v>
      </c>
      <c r="R9" s="2">
        <f t="shared" si="2"/>
        <v>114.28571428571428</v>
      </c>
      <c r="S9" s="2">
        <f t="shared" si="3"/>
        <v>20</v>
      </c>
      <c r="T9" s="2"/>
      <c r="U9" s="18"/>
      <c r="AB9" s="18"/>
      <c r="AK9" s="18"/>
      <c r="AL9" s="3">
        <f t="shared" si="1"/>
        <v>1</v>
      </c>
      <c r="AM9" s="18"/>
      <c r="AU9" s="18"/>
    </row>
    <row r="10" spans="9:52" ht="15">
      <c r="I10">
        <f t="shared" si="0"/>
        <v>1000</v>
      </c>
      <c r="L10">
        <f>SUM($I$5:I10)-SUM($J$5:J10)</f>
        <v>6000</v>
      </c>
      <c r="N10">
        <v>2011</v>
      </c>
      <c r="O10" s="9">
        <v>2</v>
      </c>
      <c r="P10" s="10">
        <v>351.43057173426456</v>
      </c>
      <c r="Q10" s="10">
        <f>39479.5504005345/1000</f>
        <v>39.4795504005345</v>
      </c>
      <c r="R10" s="10">
        <f t="shared" si="2"/>
        <v>112.33954463810024</v>
      </c>
      <c r="S10" s="10">
        <f t="shared" si="3"/>
        <v>19.73977520026725</v>
      </c>
      <c r="T10" s="10"/>
      <c r="U10" s="19"/>
      <c r="V10" s="9"/>
      <c r="W10" s="9"/>
      <c r="X10" s="9"/>
      <c r="Y10" s="9"/>
      <c r="Z10" s="9"/>
      <c r="AA10" s="9"/>
      <c r="AB10" s="19"/>
      <c r="AC10" s="9"/>
      <c r="AD10" s="9"/>
      <c r="AE10" s="9"/>
      <c r="AF10" s="9"/>
      <c r="AG10" s="9"/>
      <c r="AH10" s="9"/>
      <c r="AI10" s="9"/>
      <c r="AJ10" s="9"/>
      <c r="AK10" s="19"/>
      <c r="AL10" s="11">
        <f t="shared" si="1"/>
        <v>0.9869887600133624</v>
      </c>
      <c r="AM10" s="19"/>
      <c r="AN10" s="9"/>
      <c r="AO10" s="9"/>
      <c r="AP10" s="9"/>
      <c r="AQ10" s="9"/>
      <c r="AR10" s="9"/>
      <c r="AS10" s="9"/>
      <c r="AT10" s="9"/>
      <c r="AU10" s="19"/>
      <c r="AV10" s="9"/>
      <c r="AW10" s="9"/>
      <c r="AX10" s="9"/>
      <c r="AY10" s="9"/>
      <c r="AZ10" s="9"/>
    </row>
    <row r="11" spans="1:89" ht="15">
      <c r="A11" s="1">
        <v>1</v>
      </c>
      <c r="B11" s="1">
        <v>1</v>
      </c>
      <c r="I11">
        <f>500*O11</f>
        <v>1000</v>
      </c>
      <c r="L11">
        <f>SUM($I$5:I11)-SUM($J$5:J11)</f>
        <v>7000</v>
      </c>
      <c r="N11">
        <v>2012</v>
      </c>
      <c r="O11" s="14">
        <v>2</v>
      </c>
      <c r="P11" s="15">
        <v>252.06320620998954</v>
      </c>
      <c r="Q11" s="15">
        <f>47340.7736691799/1000</f>
        <v>47.3407736691799</v>
      </c>
      <c r="R11" s="15">
        <f t="shared" si="2"/>
        <v>187.81310601016918</v>
      </c>
      <c r="S11" s="38">
        <f t="shared" si="3"/>
        <v>23.67038683458995</v>
      </c>
      <c r="T11" s="15"/>
      <c r="U11" s="20"/>
      <c r="V11" s="14"/>
      <c r="W11" s="14"/>
      <c r="X11" s="14"/>
      <c r="Y11" s="14"/>
      <c r="Z11" s="14"/>
      <c r="AA11" s="14"/>
      <c r="AB11" s="20"/>
      <c r="AC11" s="14"/>
      <c r="AD11" s="14"/>
      <c r="AE11" s="14"/>
      <c r="AF11" s="14"/>
      <c r="AG11" s="14"/>
      <c r="AH11" s="14"/>
      <c r="AI11" s="14"/>
      <c r="AJ11" s="14"/>
      <c r="AK11" s="20"/>
      <c r="AL11" s="16">
        <f t="shared" si="1"/>
        <v>1.1835193417294976</v>
      </c>
      <c r="AM11" s="20"/>
      <c r="AN11" s="14"/>
      <c r="AO11" s="14"/>
      <c r="AP11" s="14"/>
      <c r="AQ11" s="14"/>
      <c r="AR11" s="14"/>
      <c r="AS11" s="14"/>
      <c r="AT11" s="14"/>
      <c r="AU11" s="20"/>
      <c r="AV11" s="14"/>
      <c r="AW11" s="14"/>
      <c r="AX11" s="14"/>
      <c r="AY11" s="14"/>
      <c r="AZ11" s="14"/>
      <c r="CG11" t="s">
        <v>60</v>
      </c>
      <c r="CK11" t="s">
        <v>61</v>
      </c>
    </row>
    <row r="12" spans="1:91" ht="15">
      <c r="A12" s="1">
        <v>2</v>
      </c>
      <c r="B12" s="1">
        <v>2</v>
      </c>
      <c r="I12">
        <f t="shared" si="0"/>
        <v>1000</v>
      </c>
      <c r="L12">
        <f>SUM($I$5:I12)-SUM($J$5:J12)</f>
        <v>8000</v>
      </c>
      <c r="N12">
        <v>2013</v>
      </c>
      <c r="O12" s="9">
        <v>2</v>
      </c>
      <c r="P12" s="10">
        <v>259.9944453097455</v>
      </c>
      <c r="Q12" s="10">
        <f>44443.5342659761/1000</f>
        <v>44.4435342659761</v>
      </c>
      <c r="R12" s="10">
        <f t="shared" si="2"/>
        <v>170.94032225583936</v>
      </c>
      <c r="S12" s="10">
        <f t="shared" si="3"/>
        <v>22.22176713298805</v>
      </c>
      <c r="T12" s="10"/>
      <c r="U12" s="19"/>
      <c r="V12" s="9"/>
      <c r="W12" s="9"/>
      <c r="X12" s="9"/>
      <c r="Y12" s="9"/>
      <c r="Z12" s="9"/>
      <c r="AA12" s="9"/>
      <c r="AB12" s="19"/>
      <c r="AC12" s="9"/>
      <c r="AD12" s="9"/>
      <c r="AE12" s="9"/>
      <c r="AF12" s="9"/>
      <c r="AG12" s="9"/>
      <c r="AH12" s="9"/>
      <c r="AI12" s="12"/>
      <c r="AJ12" s="12"/>
      <c r="AK12" s="19"/>
      <c r="AL12" s="11">
        <f t="shared" si="1"/>
        <v>1.1110883566494025</v>
      </c>
      <c r="AM12" s="19"/>
      <c r="AN12" s="9"/>
      <c r="AO12" s="9"/>
      <c r="AP12" s="9"/>
      <c r="AQ12" s="9"/>
      <c r="AR12" s="9"/>
      <c r="AS12" s="9"/>
      <c r="AT12" s="9"/>
      <c r="AU12" s="19"/>
      <c r="AV12" s="9"/>
      <c r="AW12" s="9"/>
      <c r="AX12" s="9"/>
      <c r="AY12" s="9"/>
      <c r="AZ12" s="9"/>
      <c r="BY12" t="s">
        <v>44</v>
      </c>
      <c r="BZ12" t="s">
        <v>52</v>
      </c>
      <c r="CA12" t="s">
        <v>59</v>
      </c>
      <c r="CB12" t="s">
        <v>53</v>
      </c>
      <c r="CC12" t="s">
        <v>54</v>
      </c>
      <c r="CD12" t="s">
        <v>55</v>
      </c>
      <c r="CE12" t="s">
        <v>2</v>
      </c>
      <c r="CG12" t="s">
        <v>54</v>
      </c>
      <c r="CH12" t="s">
        <v>57</v>
      </c>
      <c r="CI12" t="s">
        <v>58</v>
      </c>
      <c r="CK12" t="s">
        <v>54</v>
      </c>
      <c r="CL12" t="s">
        <v>57</v>
      </c>
      <c r="CM12" t="s">
        <v>58</v>
      </c>
    </row>
    <row r="13" spans="1:91" ht="15">
      <c r="A13" s="1">
        <v>3</v>
      </c>
      <c r="B13" s="1">
        <v>3</v>
      </c>
      <c r="C13" s="8">
        <v>1</v>
      </c>
      <c r="I13">
        <f t="shared" si="0"/>
        <v>1500</v>
      </c>
      <c r="J13">
        <v>800</v>
      </c>
      <c r="L13">
        <f>SUM($I$5:I13)-SUM($J$5:J13)</f>
        <v>8700</v>
      </c>
      <c r="N13">
        <v>2014</v>
      </c>
      <c r="O13" s="14">
        <v>3</v>
      </c>
      <c r="P13" s="15">
        <v>381.2364824088378</v>
      </c>
      <c r="Q13" s="15">
        <f>68113.7719683143/1000</f>
        <v>68.1137719683143</v>
      </c>
      <c r="R13" s="15">
        <f aca="true" t="shared" si="4" ref="R13:R18">Q13/P13*1000</f>
        <v>178.66540877184238</v>
      </c>
      <c r="S13" s="38">
        <f t="shared" si="3"/>
        <v>22.704590656104767</v>
      </c>
      <c r="T13" s="15"/>
      <c r="U13" s="21">
        <v>1.5349840337287086</v>
      </c>
      <c r="V13" s="15">
        <v>82.63273185539495</v>
      </c>
      <c r="W13" s="15">
        <v>8.229759958394425</v>
      </c>
      <c r="X13" s="15">
        <v>6.904634267815671</v>
      </c>
      <c r="Y13" s="15">
        <v>0.5069996281473812</v>
      </c>
      <c r="Z13" s="15">
        <v>0.17685860209419596</v>
      </c>
      <c r="AA13" s="15">
        <v>0.0140316544247036</v>
      </c>
      <c r="AB13" s="23">
        <v>2.7514143484549143</v>
      </c>
      <c r="AC13" s="17">
        <v>8.351812628606472</v>
      </c>
      <c r="AD13" s="17">
        <v>14.025105810721447</v>
      </c>
      <c r="AE13" s="17">
        <v>18.783361513567037</v>
      </c>
      <c r="AF13" s="17">
        <v>23.037931366877864</v>
      </c>
      <c r="AG13" s="17">
        <v>25.52745962010958</v>
      </c>
      <c r="AH13" s="17">
        <v>27.278667432823468</v>
      </c>
      <c r="AI13" s="14">
        <f aca="true" t="shared" si="5" ref="AI13:AI18">(U13*AB13+V13*AC13+W13*AD13+X13*AE13+Y13*AF13+Z13*AG13+AA13*AH13)/100</f>
        <v>9.5604970462016</v>
      </c>
      <c r="AJ13" s="14">
        <f>(V13*AC13+W13*AD13+X13*AE13+Y13*AF13+Z13*AG13+AA13*AH13)/(100-U13)</f>
        <v>9.666644728429771</v>
      </c>
      <c r="AK13" s="21">
        <f aca="true" t="shared" si="6" ref="AK13:AK18">Q13*1000000/AI13/40000</f>
        <v>178.11252814354455</v>
      </c>
      <c r="AL13" s="16">
        <f t="shared" si="1"/>
        <v>1.7028442992078574</v>
      </c>
      <c r="AM13" s="21">
        <f aca="true" t="shared" si="7" ref="AM13:AM18">Q13*1000000/AI13/P13</f>
        <v>18687.878664512155</v>
      </c>
      <c r="AN13" s="15">
        <f aca="true" t="shared" si="8" ref="AN13:AT13">U13*$AM13/100</f>
        <v>286.8559537428554</v>
      </c>
      <c r="AO13" s="50">
        <f t="shared" si="8"/>
        <v>15442.304666307893</v>
      </c>
      <c r="AP13" s="15">
        <f t="shared" si="8"/>
        <v>1537.967555405356</v>
      </c>
      <c r="AQ13" s="15">
        <f t="shared" si="8"/>
        <v>1290.3296741977197</v>
      </c>
      <c r="AR13" s="15">
        <f t="shared" si="8"/>
        <v>94.7474753377104</v>
      </c>
      <c r="AS13" s="15">
        <f t="shared" si="8"/>
        <v>33.05112096711569</v>
      </c>
      <c r="AT13" s="15">
        <f t="shared" si="8"/>
        <v>2.62221855351226</v>
      </c>
      <c r="AU13" s="20"/>
      <c r="AV13" s="14"/>
      <c r="AW13" s="14"/>
      <c r="AX13" s="14"/>
      <c r="AY13" s="14"/>
      <c r="AZ13" s="14"/>
      <c r="BI13" s="2">
        <f>R13/AI13*(100-U13)/100*AJ13</f>
        <v>177.87614918477456</v>
      </c>
      <c r="BJ13" s="2">
        <f>BK13*(BK14/BL14)</f>
        <v>754.9975683478139</v>
      </c>
      <c r="BK13" s="2">
        <f>AO13/$BK$6/40000</f>
        <v>519.1735367365491</v>
      </c>
      <c r="BL13" s="2">
        <f>AP13/$BL$6/40000</f>
        <v>58.21574710696796</v>
      </c>
      <c r="BM13" s="2">
        <f>AQ13/$BM$6/40000</f>
        <v>49.866063564862195</v>
      </c>
      <c r="BN13" s="2">
        <f>AR13/$BN$6/40000</f>
        <v>3.68932622426012</v>
      </c>
      <c r="BO13" s="2">
        <f>AS13/$BO$6/40000</f>
        <v>1.2892979997256238</v>
      </c>
      <c r="BP13" s="2">
        <f>SUM(BJ13:BO13)</f>
        <v>1387.2315399801787</v>
      </c>
      <c r="BQ13" s="2">
        <f>SUM(BK13:BO13)</f>
        <v>632.2339716323648</v>
      </c>
      <c r="BX13" s="55"/>
      <c r="BY13">
        <v>1</v>
      </c>
      <c r="BZ13" s="3">
        <v>3.635434046423851</v>
      </c>
      <c r="CA13">
        <f>LN(BZ14/BZ13)</f>
        <v>0.9536432023149455</v>
      </c>
      <c r="CB13">
        <v>0.5</v>
      </c>
      <c r="CC13" s="1">
        <v>1.2</v>
      </c>
      <c r="CD13" s="28">
        <v>1000</v>
      </c>
      <c r="CE13" s="2">
        <f>CD13*((EXP(CA13-CB13-CC13)-1)/(CA13-CB13-CC13))*CC13</f>
        <v>845.5624173084572</v>
      </c>
      <c r="CG13">
        <v>0</v>
      </c>
      <c r="CH13">
        <v>0</v>
      </c>
      <c r="CI13">
        <v>0</v>
      </c>
      <c r="CK13">
        <v>0</v>
      </c>
      <c r="CL13">
        <v>0</v>
      </c>
      <c r="CM13">
        <v>0</v>
      </c>
    </row>
    <row r="14" spans="1:91" ht="15">
      <c r="A14" s="1">
        <v>4</v>
      </c>
      <c r="B14" s="1">
        <v>4</v>
      </c>
      <c r="C14" s="8">
        <v>2</v>
      </c>
      <c r="I14">
        <f t="shared" si="0"/>
        <v>1500</v>
      </c>
      <c r="J14">
        <v>800</v>
      </c>
      <c r="L14">
        <f>SUM($I$5:I14)-SUM($J$5:J14)</f>
        <v>9400</v>
      </c>
      <c r="N14">
        <v>2015</v>
      </c>
      <c r="O14" s="9">
        <v>3</v>
      </c>
      <c r="P14" s="10">
        <v>334.67359557811335</v>
      </c>
      <c r="Q14" s="10">
        <f>74340.4180011974/1000</f>
        <v>74.34041800119739</v>
      </c>
      <c r="R14" s="10">
        <f t="shared" si="4"/>
        <v>222.1281241885311</v>
      </c>
      <c r="S14" s="10">
        <f t="shared" si="3"/>
        <v>24.780139333732464</v>
      </c>
      <c r="T14" s="10"/>
      <c r="U14" s="22">
        <v>0.7003218556905132</v>
      </c>
      <c r="V14" s="10">
        <v>58.99390822725977</v>
      </c>
      <c r="W14" s="10">
        <v>36.031412894970636</v>
      </c>
      <c r="X14" s="10">
        <v>2.473398221051539</v>
      </c>
      <c r="Y14" s="10">
        <v>1.6713543921236405</v>
      </c>
      <c r="Z14" s="10">
        <v>0.10076608413547641</v>
      </c>
      <c r="AA14" s="10">
        <v>0.028838324768449067</v>
      </c>
      <c r="AB14" s="24">
        <v>3.635434046423851</v>
      </c>
      <c r="AC14" s="13">
        <v>9.434486135735735</v>
      </c>
      <c r="AD14" s="13">
        <v>13.364520201373237</v>
      </c>
      <c r="AE14" s="13">
        <v>16.62219104464268</v>
      </c>
      <c r="AF14" s="13">
        <v>19.108190659116918</v>
      </c>
      <c r="AG14" s="13">
        <v>21.3303667618358</v>
      </c>
      <c r="AH14" s="13">
        <v>22.56804379414287</v>
      </c>
      <c r="AI14" s="9">
        <f t="shared" si="5"/>
        <v>11.165157869509729</v>
      </c>
      <c r="AJ14" s="14">
        <f>(V14*AC14+W14*AD14+X14*AE14+Y14*AF14+Z14*AG14+AA14*AH14)/(100-U14)</f>
        <v>11.2182620714484</v>
      </c>
      <c r="AK14" s="22">
        <f t="shared" si="6"/>
        <v>166.45626257602964</v>
      </c>
      <c r="AL14" s="11">
        <f t="shared" si="1"/>
        <v>1.858510450029935</v>
      </c>
      <c r="AM14" s="22">
        <f t="shared" si="7"/>
        <v>19894.758926349597</v>
      </c>
      <c r="AN14" s="10">
        <f aca="true" t="shared" si="9" ref="AN14:AN19">U14*$AM14/100</f>
        <v>139.3273448981655</v>
      </c>
      <c r="AO14" s="50">
        <f aca="true" t="shared" si="10" ref="AO14:AO25">V14*$AM14/100</f>
        <v>11736.695823045255</v>
      </c>
      <c r="AP14" s="10">
        <f aca="true" t="shared" si="11" ref="AP14:AP25">W14*$AM14/100</f>
        <v>7168.36273321205</v>
      </c>
      <c r="AQ14" s="10">
        <f aca="true" t="shared" si="12" ref="AQ14:AQ25">X14*$AM14/100</f>
        <v>492.07661336682315</v>
      </c>
      <c r="AR14" s="10">
        <f aca="true" t="shared" si="13" ref="AR14:AR25">Y14*$AM14/100</f>
        <v>332.51192711795403</v>
      </c>
      <c r="AS14" s="10">
        <f aca="true" t="shared" si="14" ref="AS14:AS25">Z14*$AM14/100</f>
        <v>20.047169518275638</v>
      </c>
      <c r="AT14" s="10">
        <f aca="true" t="shared" si="15" ref="AT14:AT25">AA14*$AM14/100</f>
        <v>5.737315191080707</v>
      </c>
      <c r="AU14" s="25">
        <f aca="true" t="shared" si="16" ref="AU14:AZ14">AO14/AN13</f>
        <v>40.914945881047714</v>
      </c>
      <c r="AV14" s="12">
        <f t="shared" si="16"/>
        <v>0.4642029080576311</v>
      </c>
      <c r="AW14" s="12">
        <f t="shared" si="16"/>
        <v>0.31995253192264417</v>
      </c>
      <c r="AX14" s="12">
        <f t="shared" si="16"/>
        <v>0.25769532683552204</v>
      </c>
      <c r="AY14" s="12">
        <f t="shared" si="16"/>
        <v>0.21158526332043248</v>
      </c>
      <c r="AZ14" s="12">
        <f t="shared" si="16"/>
        <v>0.17358912566956702</v>
      </c>
      <c r="BA14" s="12">
        <f aca="true" t="shared" si="17" ref="BA14:BF17">-LN(AU14)</f>
        <v>-3.711495421261807</v>
      </c>
      <c r="BB14" s="12">
        <f t="shared" si="17"/>
        <v>0.7674335204961258</v>
      </c>
      <c r="BC14" s="12">
        <f t="shared" si="17"/>
        <v>1.1395826319332327</v>
      </c>
      <c r="BD14" s="12">
        <f t="shared" si="17"/>
        <v>1.355977295615049</v>
      </c>
      <c r="BE14" s="12">
        <f t="shared" si="17"/>
        <v>1.5531272254665764</v>
      </c>
      <c r="BF14" s="12">
        <f t="shared" si="17"/>
        <v>1.7510641188701273</v>
      </c>
      <c r="BG14" s="2">
        <f aca="true" t="shared" si="18" ref="BG14:BG19">AVERAGE(P13:P14)</f>
        <v>357.95503899347557</v>
      </c>
      <c r="BI14" s="2">
        <f>R14/AI14*(100-U14)/100*AJ14</f>
        <v>221.62160881529044</v>
      </c>
      <c r="BJ14" s="2">
        <f aca="true" t="shared" si="19" ref="BJ14:BJ26">BK14*(BK15/BL15)</f>
        <v>104.99589534966181</v>
      </c>
      <c r="BK14" s="2">
        <f aca="true" t="shared" si="20" ref="BK14:BK26">AO14/$BK$6/40000</f>
        <v>394.5901866154773</v>
      </c>
      <c r="BL14" s="2">
        <f aca="true" t="shared" si="21" ref="BL14:BL26">AP14/$BL$6/40000</f>
        <v>271.339659007109</v>
      </c>
      <c r="BM14" s="2">
        <f aca="true" t="shared" si="22" ref="BM14:BM26">AQ14/$BM$6/40000</f>
        <v>19.01678630787819</v>
      </c>
      <c r="BN14" s="2">
        <f aca="true" t="shared" si="23" ref="BN14:BN26">AR14/$BN$6/40000</f>
        <v>12.947521485116358</v>
      </c>
      <c r="BO14" s="2">
        <f aca="true" t="shared" si="24" ref="BO14:BO26">AS14/$BO$6/40000</f>
        <v>0.7820241735761276</v>
      </c>
      <c r="BP14" s="2">
        <f aca="true" t="shared" si="25" ref="BP14:BP26">SUM(BJ14:BO14)</f>
        <v>803.6720729388188</v>
      </c>
      <c r="BQ14" s="2">
        <f aca="true" t="shared" si="26" ref="BQ14:BQ26">SUM(BK14:BO14)</f>
        <v>698.676177589157</v>
      </c>
      <c r="BS14" s="55">
        <f>BB14-$BK$5</f>
        <v>0.2598815420439584</v>
      </c>
      <c r="BT14" s="55">
        <f>BC14-$BL$5</f>
        <v>0.32797420398931054</v>
      </c>
      <c r="BU14" s="55">
        <f>BD14-$BM$5</f>
        <v>0.32963003688014636</v>
      </c>
      <c r="BV14" s="55">
        <f>BE14-$BN$5</f>
        <v>0.3289920301777216</v>
      </c>
      <c r="BW14" s="55">
        <f>BF14-$BO$5</f>
        <v>0.3280981944966659</v>
      </c>
      <c r="BY14">
        <v>2</v>
      </c>
      <c r="BZ14" s="3">
        <v>9.434486135735735</v>
      </c>
      <c r="CA14">
        <f>LN(BZ15/BZ14)</f>
        <v>0.3482317355947989</v>
      </c>
      <c r="CB14">
        <v>0.8</v>
      </c>
      <c r="CC14">
        <f>$CC$13</f>
        <v>1.2</v>
      </c>
      <c r="CD14" s="2">
        <f>CD13*EXP(CA13-CB13-CC13)</f>
        <v>474.0906183123552</v>
      </c>
      <c r="CE14" s="2">
        <f>CD14*((EXP(CA14-CB14-CC14)-1)/(CA14-CB14-CC14))*CC14</f>
        <v>278.39431706983873</v>
      </c>
      <c r="CG14">
        <v>0.2</v>
      </c>
      <c r="CH14">
        <v>3045.465058273897</v>
      </c>
      <c r="CI14">
        <v>677.2960852186363</v>
      </c>
      <c r="CK14">
        <v>0.2</v>
      </c>
      <c r="CL14">
        <v>2299.261974141787</v>
      </c>
      <c r="CM14">
        <v>540.1108565530924</v>
      </c>
    </row>
    <row r="15" spans="1:91" ht="15">
      <c r="A15" s="1">
        <v>5</v>
      </c>
      <c r="B15" s="1">
        <v>5</v>
      </c>
      <c r="C15" s="8">
        <v>3</v>
      </c>
      <c r="I15">
        <f t="shared" si="0"/>
        <v>1500</v>
      </c>
      <c r="J15">
        <v>800</v>
      </c>
      <c r="L15">
        <f>SUM($I$5:I15)-SUM($J$5:J15)</f>
        <v>10100</v>
      </c>
      <c r="N15">
        <v>2016</v>
      </c>
      <c r="O15" s="14">
        <v>3</v>
      </c>
      <c r="P15" s="15">
        <v>331.87829475586256</v>
      </c>
      <c r="Q15" s="15">
        <f>73555.8578993143/1000</f>
        <v>73.5558578993143</v>
      </c>
      <c r="R15" s="15">
        <f t="shared" si="4"/>
        <v>221.6350362816698</v>
      </c>
      <c r="S15" s="38">
        <f t="shared" si="3"/>
        <v>24.518619299771434</v>
      </c>
      <c r="T15" s="14"/>
      <c r="U15" s="20">
        <v>5.76236447661503</v>
      </c>
      <c r="V15" s="14">
        <v>15.702145298611967</v>
      </c>
      <c r="W15" s="14">
        <v>52.41312812968977</v>
      </c>
      <c r="X15" s="14">
        <v>24.031175765780517</v>
      </c>
      <c r="Y15" s="14">
        <v>1.323457623289557</v>
      </c>
      <c r="Z15" s="14">
        <v>0.7316336726329716</v>
      </c>
      <c r="AA15" s="14">
        <v>0.03609503338019813</v>
      </c>
      <c r="AB15" s="20">
        <v>4.333712124634725</v>
      </c>
      <c r="AC15" s="14">
        <v>13.605147120066157</v>
      </c>
      <c r="AD15" s="14">
        <v>18.108075381912556</v>
      </c>
      <c r="AE15" s="14">
        <v>20.8657327318822</v>
      </c>
      <c r="AF15" s="14">
        <v>22.903584604492767</v>
      </c>
      <c r="AG15" s="14">
        <v>24.35265506248471</v>
      </c>
      <c r="AH15" s="14">
        <v>25.586619461385578</v>
      </c>
      <c r="AI15" s="14">
        <f t="shared" si="5"/>
        <v>17.381840876138146</v>
      </c>
      <c r="AJ15" s="14">
        <f aca="true" t="shared" si="27" ref="AJ15:AJ25">(V15*AC15+W15*AD15+X15*AE15+Y15*AF15+Z15*AG15+AA15*AH15)/(100-U15)</f>
        <v>18.179696989424272</v>
      </c>
      <c r="AK15" s="21">
        <f t="shared" si="6"/>
        <v>105.79411355717227</v>
      </c>
      <c r="AL15" s="16">
        <f aca="true" t="shared" si="28" ref="AL15:AL20">Q15*1000/40000</f>
        <v>1.8388964474828575</v>
      </c>
      <c r="AM15" s="21">
        <f t="shared" si="7"/>
        <v>12750.953012458605</v>
      </c>
      <c r="AN15" s="15">
        <f t="shared" si="9"/>
        <v>734.7563868197888</v>
      </c>
      <c r="AO15" s="51">
        <f t="shared" si="10"/>
        <v>2002.17316897399</v>
      </c>
      <c r="AP15" s="15">
        <f t="shared" si="11"/>
        <v>6683.173340176466</v>
      </c>
      <c r="AQ15" s="15">
        <f t="shared" si="12"/>
        <v>3064.203930236013</v>
      </c>
      <c r="AR15" s="15">
        <f t="shared" si="13"/>
        <v>168.75345968545284</v>
      </c>
      <c r="AS15" s="15">
        <f t="shared" si="14"/>
        <v>93.29026582075544</v>
      </c>
      <c r="AT15" s="15">
        <f t="shared" si="15"/>
        <v>4.602460746140313</v>
      </c>
      <c r="AU15" s="26">
        <f aca="true" t="shared" si="29" ref="AU15:AZ15">AO15/AN14</f>
        <v>14.37028151535781</v>
      </c>
      <c r="AV15" s="27">
        <f t="shared" si="29"/>
        <v>0.5694254533762314</v>
      </c>
      <c r="AW15" s="27">
        <f t="shared" si="29"/>
        <v>0.42746217571260975</v>
      </c>
      <c r="AX15" s="27">
        <f t="shared" si="29"/>
        <v>0.3429414345275011</v>
      </c>
      <c r="AY15" s="27">
        <f t="shared" si="29"/>
        <v>0.28056216397814204</v>
      </c>
      <c r="AZ15" s="27">
        <f t="shared" si="29"/>
        <v>0.22958157469285442</v>
      </c>
      <c r="BA15" s="12">
        <f t="shared" si="17"/>
        <v>-2.6651622903901915</v>
      </c>
      <c r="BB15" s="12">
        <f t="shared" si="17"/>
        <v>0.5631274030364459</v>
      </c>
      <c r="BC15" s="12">
        <f t="shared" si="17"/>
        <v>0.8498894723849597</v>
      </c>
      <c r="BD15" s="12">
        <f t="shared" si="17"/>
        <v>1.070195591212534</v>
      </c>
      <c r="BE15" s="12">
        <f t="shared" si="17"/>
        <v>1.27095996011273</v>
      </c>
      <c r="BF15" s="12">
        <f t="shared" si="17"/>
        <v>1.4714968673524786</v>
      </c>
      <c r="BG15" s="2">
        <f t="shared" si="18"/>
        <v>333.275945166988</v>
      </c>
      <c r="BI15" s="2">
        <f aca="true" t="shared" si="30" ref="BI15:BI26">R15/AI15*(100-U15)/100*AJ15</f>
        <v>218.45081361945608</v>
      </c>
      <c r="BJ15" s="2">
        <f t="shared" si="19"/>
        <v>255.91016738852994</v>
      </c>
      <c r="BK15" s="2">
        <f t="shared" si="20"/>
        <v>67.31348381975546</v>
      </c>
      <c r="BL15" s="2">
        <f t="shared" si="21"/>
        <v>252.97408106973938</v>
      </c>
      <c r="BM15" s="2">
        <f t="shared" si="22"/>
        <v>118.41918465980794</v>
      </c>
      <c r="BN15" s="2">
        <f t="shared" si="23"/>
        <v>6.571009539125617</v>
      </c>
      <c r="BO15" s="2">
        <f t="shared" si="24"/>
        <v>3.6391792349870253</v>
      </c>
      <c r="BP15" s="2">
        <f t="shared" si="25"/>
        <v>704.8271057119454</v>
      </c>
      <c r="BQ15" s="2">
        <f t="shared" si="26"/>
        <v>448.9169383234154</v>
      </c>
      <c r="BS15" s="55">
        <f>BB15-$BK$5</f>
        <v>0.055575424584278554</v>
      </c>
      <c r="BT15" s="55">
        <f>BC15-$BL$5</f>
        <v>0.038281044441037526</v>
      </c>
      <c r="BU15" s="55">
        <f>BD15-$BM$5</f>
        <v>0.04384833247763131</v>
      </c>
      <c r="BV15" s="55">
        <f>BE15-$BN$5</f>
        <v>0.0468247648238751</v>
      </c>
      <c r="BW15" s="55">
        <f>BF15-$BO$5</f>
        <v>0.04853094297901728</v>
      </c>
      <c r="BY15">
        <v>3</v>
      </c>
      <c r="BZ15" s="3">
        <v>13.364520201373237</v>
      </c>
      <c r="CA15">
        <f>LN(BZ16/BZ15)</f>
        <v>0.21813516323477333</v>
      </c>
      <c r="CB15">
        <v>1</v>
      </c>
      <c r="CC15">
        <f>$CC$13</f>
        <v>1.2</v>
      </c>
      <c r="CD15" s="2">
        <f>CD14*EXP(CA14-CB14-CC14)</f>
        <v>90.88820337342294</v>
      </c>
      <c r="CE15" s="2">
        <f>CD15*((EXP(CA15-CB15-CC15)-1)/(CA15-CB15-CC15))*CC15</f>
        <v>47.447868357655246</v>
      </c>
      <c r="CG15">
        <v>0.4</v>
      </c>
      <c r="CH15">
        <v>2233.2912484740127</v>
      </c>
      <c r="CI15">
        <v>1040.6710563480783</v>
      </c>
      <c r="CK15">
        <v>0.4</v>
      </c>
      <c r="CL15">
        <v>1681.3090415182226</v>
      </c>
      <c r="CM15">
        <v>836.901571976015</v>
      </c>
    </row>
    <row r="16" spans="1:91" ht="15">
      <c r="A16" s="1">
        <v>1</v>
      </c>
      <c r="B16" s="1">
        <v>1</v>
      </c>
      <c r="C16" s="8">
        <v>4</v>
      </c>
      <c r="D16" s="28">
        <v>1</v>
      </c>
      <c r="I16">
        <f t="shared" si="0"/>
        <v>2000</v>
      </c>
      <c r="J16">
        <v>800</v>
      </c>
      <c r="L16">
        <f>SUM($I$5:I16)-SUM($J$5:J16)</f>
        <v>11300</v>
      </c>
      <c r="N16">
        <v>2017</v>
      </c>
      <c r="O16" s="29">
        <v>4</v>
      </c>
      <c r="P16" s="29">
        <v>560.6524496526175</v>
      </c>
      <c r="Q16" s="29">
        <f>86357.9457043478/1000</f>
        <v>86.3579457043478</v>
      </c>
      <c r="R16" s="30">
        <f t="shared" si="4"/>
        <v>154.03115737361983</v>
      </c>
      <c r="S16" s="30">
        <f t="shared" si="3"/>
        <v>21.58948642608695</v>
      </c>
      <c r="T16" s="29"/>
      <c r="U16" s="31">
        <v>16.507846349781623</v>
      </c>
      <c r="V16" s="29">
        <v>39.59341421675147</v>
      </c>
      <c r="W16" s="29">
        <v>9.25006128550896</v>
      </c>
      <c r="X16" s="29">
        <v>24.783317752024388</v>
      </c>
      <c r="Y16" s="29">
        <v>9.254584236957955</v>
      </c>
      <c r="Z16" s="29">
        <v>0.4200509615345002</v>
      </c>
      <c r="AA16" s="29">
        <v>0.19072519744111777</v>
      </c>
      <c r="AB16" s="31">
        <v>4.523553200430576</v>
      </c>
      <c r="AC16" s="29">
        <v>16.029040737242966</v>
      </c>
      <c r="AD16" s="29">
        <v>23.171575892207418</v>
      </c>
      <c r="AE16" s="29">
        <v>26.17017683313003</v>
      </c>
      <c r="AF16" s="29">
        <v>27.86074504606552</v>
      </c>
      <c r="AG16" s="29">
        <v>29.05516416774504</v>
      </c>
      <c r="AH16" s="29">
        <v>29.880055333344337</v>
      </c>
      <c r="AI16" s="29">
        <f t="shared" si="5"/>
        <v>18.479840167939145</v>
      </c>
      <c r="AJ16" s="14">
        <f t="shared" si="27"/>
        <v>21.239240073207828</v>
      </c>
      <c r="AK16" s="32">
        <f t="shared" si="6"/>
        <v>116.8272356789252</v>
      </c>
      <c r="AL16" s="33">
        <f t="shared" si="28"/>
        <v>2.1589486426086952</v>
      </c>
      <c r="AM16" s="32">
        <f t="shared" si="7"/>
        <v>8335.09142794698</v>
      </c>
      <c r="AN16" s="30">
        <f t="shared" si="9"/>
        <v>1375.9440860393065</v>
      </c>
      <c r="AO16" s="30">
        <f t="shared" si="10"/>
        <v>3300.1472744119924</v>
      </c>
      <c r="AP16" s="30">
        <f t="shared" si="11"/>
        <v>771.0010652882994</v>
      </c>
      <c r="AQ16" s="30">
        <f t="shared" si="12"/>
        <v>2065.712193509847</v>
      </c>
      <c r="AR16" s="30">
        <f t="shared" si="13"/>
        <v>771.378057426815</v>
      </c>
      <c r="AS16" s="30">
        <f t="shared" si="14"/>
        <v>35.011631687870995</v>
      </c>
      <c r="AT16" s="30">
        <f t="shared" si="15"/>
        <v>15.897119582849559</v>
      </c>
      <c r="AU16" s="34">
        <f aca="true" t="shared" si="31" ref="AU16:AZ16">AO16/AN15</f>
        <v>4.49148497870956</v>
      </c>
      <c r="AV16" s="35">
        <f t="shared" si="31"/>
        <v>0.3850821083989441</v>
      </c>
      <c r="AW16" s="35">
        <f t="shared" si="31"/>
        <v>0.3090915181103627</v>
      </c>
      <c r="AX16" s="35">
        <f t="shared" si="31"/>
        <v>0.2517384857500008</v>
      </c>
      <c r="AY16" s="35">
        <f t="shared" si="31"/>
        <v>0.2074720823687452</v>
      </c>
      <c r="AZ16" s="35">
        <f t="shared" si="31"/>
        <v>0.1704049124845856</v>
      </c>
      <c r="BA16" s="12">
        <f t="shared" si="17"/>
        <v>-1.5021833772998243</v>
      </c>
      <c r="BB16" s="12">
        <f t="shared" si="17"/>
        <v>0.9542986988641752</v>
      </c>
      <c r="BC16" s="12">
        <f t="shared" si="17"/>
        <v>1.1741178708211404</v>
      </c>
      <c r="BD16" s="12">
        <f t="shared" si="17"/>
        <v>1.3793644852715288</v>
      </c>
      <c r="BE16" s="12">
        <f t="shared" si="17"/>
        <v>1.5727584911643067</v>
      </c>
      <c r="BF16" s="12">
        <f t="shared" si="17"/>
        <v>1.769577835867581</v>
      </c>
      <c r="BG16" s="2">
        <f t="shared" si="18"/>
        <v>446.26537220424007</v>
      </c>
      <c r="BI16" s="2">
        <f t="shared" si="30"/>
        <v>147.80700109960318</v>
      </c>
      <c r="BJ16" s="2">
        <f t="shared" si="19"/>
        <v>397.6850759706997</v>
      </c>
      <c r="BK16" s="2">
        <f t="shared" si="20"/>
        <v>110.95164674131522</v>
      </c>
      <c r="BL16" s="2">
        <f t="shared" si="21"/>
        <v>29.18423270912014</v>
      </c>
      <c r="BM16" s="2">
        <f t="shared" si="22"/>
        <v>79.8314861760582</v>
      </c>
      <c r="BN16" s="2">
        <f t="shared" si="23"/>
        <v>30.036317969845637</v>
      </c>
      <c r="BO16" s="2">
        <f t="shared" si="24"/>
        <v>1.3657759670909477</v>
      </c>
      <c r="BP16" s="2">
        <f t="shared" si="25"/>
        <v>649.0545355341299</v>
      </c>
      <c r="BQ16" s="2">
        <f t="shared" si="26"/>
        <v>251.36945956343015</v>
      </c>
      <c r="BS16" s="55">
        <f>BB16-$BK$5</f>
        <v>0.4467467204120078</v>
      </c>
      <c r="BT16" s="55">
        <f>BC16-$BL$5</f>
        <v>0.3625094428772182</v>
      </c>
      <c r="BU16" s="55">
        <f>BD16-$BM$5</f>
        <v>0.35301722653662604</v>
      </c>
      <c r="BV16" s="55">
        <f>BE16-$BN$5</f>
        <v>0.3486232958754518</v>
      </c>
      <c r="BW16" s="55">
        <f>BF16-$BO$5</f>
        <v>0.34661191149411974</v>
      </c>
      <c r="BY16">
        <v>4</v>
      </c>
      <c r="BZ16" s="3">
        <v>16.62219104464268</v>
      </c>
      <c r="CA16">
        <f>LN(BZ17/BZ16)</f>
        <v>0.139378460905523</v>
      </c>
      <c r="CB16">
        <v>1.2</v>
      </c>
      <c r="CC16">
        <f>$CC$13</f>
        <v>1.2</v>
      </c>
      <c r="CD16" s="2">
        <f>CD15*EXP(CA15-CB15-CC15)</f>
        <v>12.525485142170956</v>
      </c>
      <c r="CE16" s="2">
        <f>CD16*((EXP(CA16-CB16-CC16)-1)/(CA16-CB16-CC16))*CC16</f>
        <v>5.955489652434259</v>
      </c>
      <c r="CG16">
        <v>0.6</v>
      </c>
      <c r="CH16">
        <v>1673.7996710622062</v>
      </c>
      <c r="CI16">
        <v>1235.7831757695767</v>
      </c>
      <c r="CK16">
        <v>0.6</v>
      </c>
      <c r="CL16">
        <v>1257.9577278297622</v>
      </c>
      <c r="CM16">
        <v>1003.5285251489423</v>
      </c>
    </row>
    <row r="17" spans="1:91" ht="15">
      <c r="A17" s="1">
        <v>2</v>
      </c>
      <c r="B17" s="1">
        <v>2</v>
      </c>
      <c r="C17" s="8">
        <v>5</v>
      </c>
      <c r="D17" s="28">
        <v>2</v>
      </c>
      <c r="E17" s="37">
        <v>1</v>
      </c>
      <c r="I17">
        <f t="shared" si="0"/>
        <v>2500</v>
      </c>
      <c r="J17">
        <v>800</v>
      </c>
      <c r="L17">
        <f>SUM($I$5:I17)-SUM($J$5:J17)</f>
        <v>13000</v>
      </c>
      <c r="N17">
        <v>2018</v>
      </c>
      <c r="O17" s="14">
        <v>5</v>
      </c>
      <c r="P17" s="14">
        <v>793.4657199627037</v>
      </c>
      <c r="Q17" s="14">
        <f>101155.493530217/1000</f>
        <v>101.155493530217</v>
      </c>
      <c r="R17" s="15">
        <f t="shared" si="4"/>
        <v>127.48565058988528</v>
      </c>
      <c r="S17" s="38">
        <f t="shared" si="3"/>
        <v>20.2310987060434</v>
      </c>
      <c r="T17" s="14"/>
      <c r="U17" s="20">
        <v>19.510065822086332</v>
      </c>
      <c r="V17" s="14">
        <v>56.205120732892645</v>
      </c>
      <c r="W17" s="14">
        <v>13.927638103141668</v>
      </c>
      <c r="X17" s="14">
        <v>2.6577659694230418</v>
      </c>
      <c r="Y17" s="14">
        <v>5.8352318391011675</v>
      </c>
      <c r="Z17" s="14">
        <v>1.7972220175363378</v>
      </c>
      <c r="AA17" s="14">
        <v>0.06695551581882041</v>
      </c>
      <c r="AB17" s="20">
        <v>4.226428819514217</v>
      </c>
      <c r="AC17" s="14">
        <v>15.77988155724474</v>
      </c>
      <c r="AD17" s="14">
        <v>24.14041358204375</v>
      </c>
      <c r="AE17" s="14">
        <v>28.42309018556352</v>
      </c>
      <c r="AF17" s="14">
        <v>30.06579311231814</v>
      </c>
      <c r="AG17" s="14">
        <v>30.96104287215144</v>
      </c>
      <c r="AH17" s="14">
        <v>31.636779208079467</v>
      </c>
      <c r="AI17" s="14">
        <f t="shared" si="5"/>
        <v>16.143319164519433</v>
      </c>
      <c r="AJ17" s="14">
        <f t="shared" si="27"/>
        <v>19.031870601419904</v>
      </c>
      <c r="AK17" s="21">
        <f t="shared" si="6"/>
        <v>156.65225425348314</v>
      </c>
      <c r="AL17" s="16">
        <f t="shared" si="28"/>
        <v>2.528887338255425</v>
      </c>
      <c r="AM17" s="21">
        <f t="shared" si="7"/>
        <v>7897.115165143945</v>
      </c>
      <c r="AN17" s="15">
        <f t="shared" si="9"/>
        <v>1540.7323667655455</v>
      </c>
      <c r="AO17" s="15">
        <f t="shared" si="10"/>
        <v>4438.583112984728</v>
      </c>
      <c r="AP17" s="15">
        <f t="shared" si="11"/>
        <v>1099.881620789567</v>
      </c>
      <c r="AQ17" s="15">
        <f t="shared" si="12"/>
        <v>209.886839425342</v>
      </c>
      <c r="AR17" s="15">
        <f t="shared" si="13"/>
        <v>460.8149784869662</v>
      </c>
      <c r="AS17" s="15">
        <f t="shared" si="14"/>
        <v>141.92869249816812</v>
      </c>
      <c r="AT17" s="15">
        <f t="shared" si="15"/>
        <v>5.28755419362842</v>
      </c>
      <c r="AU17" s="26">
        <f aca="true" t="shared" si="32" ref="AU17:AZ17">AO17/AN16</f>
        <v>3.225845554350478</v>
      </c>
      <c r="AV17" s="27">
        <f t="shared" si="32"/>
        <v>0.33328258690683427</v>
      </c>
      <c r="AW17" s="27">
        <f t="shared" si="32"/>
        <v>0.27222639354831407</v>
      </c>
      <c r="AX17" s="27">
        <f t="shared" si="32"/>
        <v>0.2230780163542514</v>
      </c>
      <c r="AY17" s="27">
        <f t="shared" si="32"/>
        <v>0.18399368653500195</v>
      </c>
      <c r="AZ17" s="27">
        <f t="shared" si="32"/>
        <v>0.1510227869631159</v>
      </c>
      <c r="BA17" s="12">
        <f t="shared" si="17"/>
        <v>-1.1711951032781243</v>
      </c>
      <c r="BB17" s="12">
        <f t="shared" si="17"/>
        <v>1.0987645395371823</v>
      </c>
      <c r="BC17" s="12">
        <f t="shared" si="17"/>
        <v>1.3011212296582786</v>
      </c>
      <c r="BD17" s="12">
        <f t="shared" si="17"/>
        <v>1.5002337195827495</v>
      </c>
      <c r="BE17" s="12">
        <f t="shared" si="17"/>
        <v>1.6928538342716042</v>
      </c>
      <c r="BF17" s="12">
        <f t="shared" si="17"/>
        <v>1.890324546512032</v>
      </c>
      <c r="BG17" s="2">
        <f t="shared" si="18"/>
        <v>677.0590848076606</v>
      </c>
      <c r="BI17" s="2">
        <f t="shared" si="30"/>
        <v>120.97385491182905</v>
      </c>
      <c r="BJ17" s="2">
        <f t="shared" si="19"/>
        <v>642.7534889828631</v>
      </c>
      <c r="BK17" s="2">
        <f t="shared" si="20"/>
        <v>149.22609951448146</v>
      </c>
      <c r="BL17" s="2">
        <f t="shared" si="21"/>
        <v>41.633147629444764</v>
      </c>
      <c r="BM17" s="2">
        <f t="shared" si="22"/>
        <v>8.111284027254237</v>
      </c>
      <c r="BN17" s="2">
        <f t="shared" si="23"/>
        <v>17.943452093094166</v>
      </c>
      <c r="BO17" s="2">
        <f t="shared" si="24"/>
        <v>5.536525660464772</v>
      </c>
      <c r="BP17" s="2">
        <f t="shared" si="25"/>
        <v>865.2039979076026</v>
      </c>
      <c r="BQ17" s="2">
        <f t="shared" si="26"/>
        <v>222.4505089247394</v>
      </c>
      <c r="BS17" s="55">
        <f>BB17-$BK$5</f>
        <v>0.591212561085015</v>
      </c>
      <c r="BT17" s="55">
        <f>BC17-$BL$5</f>
        <v>0.4895128017143564</v>
      </c>
      <c r="BU17" s="55">
        <f>BD17-$BM$5</f>
        <v>0.4738864608478468</v>
      </c>
      <c r="BV17" s="55">
        <f>BE17-$BN$5</f>
        <v>0.46871863898274935</v>
      </c>
      <c r="BW17" s="55">
        <f>BF17-$BO$5</f>
        <v>0.4673586221385706</v>
      </c>
      <c r="BY17">
        <v>5</v>
      </c>
      <c r="BZ17" s="3">
        <v>19.108190659116918</v>
      </c>
      <c r="CA17">
        <f>LN(BZ18/BZ17)</f>
        <v>0.11001465353175177</v>
      </c>
      <c r="CB17">
        <v>1.4</v>
      </c>
      <c r="CC17">
        <f>$CC$13</f>
        <v>1.2</v>
      </c>
      <c r="CD17" s="2">
        <f>CD16*EXP(CA16-CB16-CC16)</f>
        <v>1.3062283220483153</v>
      </c>
      <c r="CE17" s="2">
        <f>CD17*((EXP(CA17-CB17-CC17)-1)/(CA17-CB17-CC17))*CC17</f>
        <v>0.577317801607463</v>
      </c>
      <c r="CG17">
        <v>0.8</v>
      </c>
      <c r="CH17">
        <v>1276.3941693543857</v>
      </c>
      <c r="CI17">
        <v>1337.7027688713</v>
      </c>
      <c r="CK17">
        <v>0.8</v>
      </c>
      <c r="CL17">
        <v>958.3916179350664</v>
      </c>
      <c r="CM17">
        <v>1097.6733010253456</v>
      </c>
    </row>
    <row r="18" spans="1:91" ht="15">
      <c r="A18" s="1">
        <v>3</v>
      </c>
      <c r="B18" s="1">
        <v>3</v>
      </c>
      <c r="C18" s="8">
        <v>1</v>
      </c>
      <c r="D18" s="28">
        <v>3</v>
      </c>
      <c r="E18" s="37">
        <v>2</v>
      </c>
      <c r="I18">
        <f t="shared" si="0"/>
        <v>2500</v>
      </c>
      <c r="J18">
        <v>800</v>
      </c>
      <c r="L18">
        <f>SUM($I$5:I18)-SUM($J$5:J18)</f>
        <v>14700</v>
      </c>
      <c r="N18">
        <v>2019</v>
      </c>
      <c r="O18" s="29">
        <v>5</v>
      </c>
      <c r="P18" s="29">
        <v>702.8728011929387</v>
      </c>
      <c r="Q18" s="29">
        <f>109848.31062406/1000</f>
        <v>109.84831062406</v>
      </c>
      <c r="R18" s="30">
        <f t="shared" si="4"/>
        <v>156.28476509209327</v>
      </c>
      <c r="S18" s="30">
        <f aca="true" t="shared" si="33" ref="S18:S24">Q18/O18</f>
        <v>21.969662124812</v>
      </c>
      <c r="T18" s="29"/>
      <c r="U18" s="31">
        <v>7.4541519078745395</v>
      </c>
      <c r="V18" s="29">
        <v>72.90809967545984</v>
      </c>
      <c r="W18" s="29">
        <v>15.034301412614544</v>
      </c>
      <c r="X18" s="29">
        <v>3.045006025139509</v>
      </c>
      <c r="Y18" s="29">
        <v>0.4770065137584218</v>
      </c>
      <c r="Z18" s="29">
        <v>0.8633765949522516</v>
      </c>
      <c r="AA18" s="29">
        <v>0.2180578702009012</v>
      </c>
      <c r="AB18" s="31">
        <v>4.760112954488896</v>
      </c>
      <c r="AC18" s="29">
        <v>16.037857089092892</v>
      </c>
      <c r="AD18" s="29">
        <v>24.857864214886707</v>
      </c>
      <c r="AE18" s="29">
        <v>29.985752687269176</v>
      </c>
      <c r="AF18" s="29">
        <v>32.34294365992565</v>
      </c>
      <c r="AG18" s="29">
        <v>33.21165854215099</v>
      </c>
      <c r="AH18" s="29">
        <v>33.6777899671838</v>
      </c>
      <c r="AI18" s="29">
        <f t="shared" si="5"/>
        <v>17.21245379593359</v>
      </c>
      <c r="AJ18" s="14">
        <f t="shared" si="27"/>
        <v>18.215433855593957</v>
      </c>
      <c r="AK18" s="32">
        <f t="shared" si="6"/>
        <v>159.54772039825528</v>
      </c>
      <c r="AL18" s="33">
        <f t="shared" si="28"/>
        <v>2.7462077656015</v>
      </c>
      <c r="AM18" s="32">
        <f t="shared" si="7"/>
        <v>9079.749287635866</v>
      </c>
      <c r="AN18" s="30">
        <f t="shared" si="9"/>
        <v>676.8183047545339</v>
      </c>
      <c r="AO18" s="30">
        <f t="shared" si="10"/>
        <v>6619.872660911412</v>
      </c>
      <c r="AP18" s="30">
        <f t="shared" si="11"/>
        <v>1365.076875412898</v>
      </c>
      <c r="AQ18" s="30">
        <f t="shared" si="12"/>
        <v>276.47891287607376</v>
      </c>
      <c r="AR18" s="30">
        <f t="shared" si="13"/>
        <v>43.31099553495698</v>
      </c>
      <c r="AS18" s="30">
        <f t="shared" si="14"/>
        <v>78.39243022979186</v>
      </c>
      <c r="AT18" s="30">
        <f t="shared" si="15"/>
        <v>19.79910791620027</v>
      </c>
      <c r="AU18" s="34">
        <f aca="true" t="shared" si="34" ref="AU18:AZ18">AO18/AN17</f>
        <v>4.29657531944272</v>
      </c>
      <c r="AV18" s="35">
        <f t="shared" si="34"/>
        <v>0.30754789099689767</v>
      </c>
      <c r="AW18" s="35">
        <f t="shared" si="34"/>
        <v>0.25137151821629594</v>
      </c>
      <c r="AX18" s="35">
        <f t="shared" si="34"/>
        <v>0.20635403178941555</v>
      </c>
      <c r="AY18" s="35">
        <f t="shared" si="34"/>
        <v>0.1701169317177678</v>
      </c>
      <c r="AZ18" s="35">
        <f t="shared" si="34"/>
        <v>0.13950038972180215</v>
      </c>
      <c r="BA18" s="35">
        <f aca="true" t="shared" si="35" ref="BA18:BF18">-LN(AU18)</f>
        <v>-1.4578182680358998</v>
      </c>
      <c r="BB18" s="35">
        <f t="shared" si="35"/>
        <v>1.1791244607829168</v>
      </c>
      <c r="BC18" s="35">
        <f t="shared" si="35"/>
        <v>1.3808232819398125</v>
      </c>
      <c r="BD18" s="35">
        <f t="shared" si="35"/>
        <v>1.5781619843777874</v>
      </c>
      <c r="BE18" s="35">
        <f t="shared" si="35"/>
        <v>1.7712692447470821</v>
      </c>
      <c r="BF18" s="35">
        <f t="shared" si="35"/>
        <v>1.9696878840199443</v>
      </c>
      <c r="BG18" s="2">
        <f t="shared" si="18"/>
        <v>748.1692605778212</v>
      </c>
      <c r="BI18" s="2">
        <f t="shared" si="30"/>
        <v>153.063033511796</v>
      </c>
      <c r="BJ18" s="2">
        <f t="shared" si="19"/>
        <v>155.2077271638551</v>
      </c>
      <c r="BK18" s="2">
        <f t="shared" si="20"/>
        <v>222.56151373632295</v>
      </c>
      <c r="BL18" s="2">
        <f t="shared" si="21"/>
        <v>51.671421728829614</v>
      </c>
      <c r="BM18" s="2">
        <f t="shared" si="22"/>
        <v>10.68480041923743</v>
      </c>
      <c r="BN18" s="2">
        <f t="shared" si="23"/>
        <v>1.6864659565481053</v>
      </c>
      <c r="BO18" s="2">
        <f t="shared" si="24"/>
        <v>3.058026491430116</v>
      </c>
      <c r="BP18" s="2">
        <f t="shared" si="25"/>
        <v>444.86995549622327</v>
      </c>
      <c r="BQ18" s="2">
        <f t="shared" si="26"/>
        <v>289.66222833236816</v>
      </c>
      <c r="BS18" s="55">
        <f>BB18-$BK$5</f>
        <v>0.6715724823307494</v>
      </c>
      <c r="BT18" s="55">
        <f>BC18-$BL$5</f>
        <v>0.5692148539958903</v>
      </c>
      <c r="BU18" s="55">
        <f>BD18-$BM$5</f>
        <v>0.5518147256428847</v>
      </c>
      <c r="BV18" s="55">
        <f>BE18-$BN$5</f>
        <v>0.5471340494582273</v>
      </c>
      <c r="BW18" s="55">
        <f>BF18-$BO$5</f>
        <v>0.546721959646483</v>
      </c>
      <c r="BY18">
        <v>6</v>
      </c>
      <c r="BZ18" s="3">
        <v>21.3303667618358</v>
      </c>
      <c r="CA18">
        <f>LN(BZ19/BZ18)</f>
        <v>0.05640318725626426</v>
      </c>
      <c r="CB18">
        <v>1.6</v>
      </c>
      <c r="CC18">
        <f>$CC$13</f>
        <v>1.2</v>
      </c>
      <c r="CD18" s="2">
        <f>CD17*EXP(CA17-CB17-CC17)</f>
        <v>0.1083009335001101</v>
      </c>
      <c r="CE18" s="2">
        <f>CD18*((EXP(CA18-CB18-CC18)-1)/(CA18-CB18-CC18))*CC18</f>
        <v>0.044321240622222736</v>
      </c>
      <c r="CG18">
        <v>1</v>
      </c>
      <c r="CH18">
        <v>986.8523866785386</v>
      </c>
      <c r="CI18">
        <v>1386.7673195875436</v>
      </c>
      <c r="CK18">
        <v>1</v>
      </c>
      <c r="CL18">
        <v>740.6692343550607</v>
      </c>
      <c r="CM18">
        <v>1150.1214228404294</v>
      </c>
    </row>
    <row r="19" spans="1:91" ht="15">
      <c r="A19" s="1">
        <v>4</v>
      </c>
      <c r="B19" s="1">
        <v>4</v>
      </c>
      <c r="C19" s="8">
        <v>2</v>
      </c>
      <c r="D19" s="28">
        <v>4</v>
      </c>
      <c r="E19" s="37">
        <v>3</v>
      </c>
      <c r="I19">
        <v>2500</v>
      </c>
      <c r="J19">
        <v>3800</v>
      </c>
      <c r="L19">
        <f>SUM($I$5:I19)-SUM($J$5:J19)</f>
        <v>13400</v>
      </c>
      <c r="N19">
        <v>2020</v>
      </c>
      <c r="O19" s="14">
        <v>5</v>
      </c>
      <c r="P19" s="14">
        <v>875.3639448737201</v>
      </c>
      <c r="Q19" s="14">
        <f>95884.1379908727/1000</f>
        <v>95.8841379908727</v>
      </c>
      <c r="R19" s="15">
        <f aca="true" t="shared" si="36" ref="R19:R24">Q19/P19*1000</f>
        <v>109.53631178481419</v>
      </c>
      <c r="S19" s="15">
        <f t="shared" si="33"/>
        <v>19.17682759817454</v>
      </c>
      <c r="T19" s="14"/>
      <c r="U19" s="20">
        <v>29.361029926991723</v>
      </c>
      <c r="V19" s="14">
        <v>27.84967930881707</v>
      </c>
      <c r="W19" s="14">
        <v>35.47023414536674</v>
      </c>
      <c r="X19" s="14">
        <v>5.995376922900583</v>
      </c>
      <c r="Y19" s="14">
        <v>1.0014941170798237</v>
      </c>
      <c r="Z19" s="14">
        <v>0.12966443636331107</v>
      </c>
      <c r="AA19" s="14">
        <v>0.19252114248075006</v>
      </c>
      <c r="AB19" s="20">
        <v>4.408642434872703</v>
      </c>
      <c r="AC19" s="14">
        <v>16.92691909833387</v>
      </c>
      <c r="AD19" s="14">
        <v>25.36686086488776</v>
      </c>
      <c r="AE19" s="14">
        <v>30.80119113329822</v>
      </c>
      <c r="AF19" s="14">
        <v>33.61997409781864</v>
      </c>
      <c r="AG19" s="14">
        <v>34.914007993536835</v>
      </c>
      <c r="AH19" s="14">
        <v>35.428731217083666</v>
      </c>
      <c r="AI19" s="14">
        <f aca="true" t="shared" si="37" ref="AI19:AI24">(U19*AB19+V19*AC19+W19*AD19+X19*AE19+Y19*AF19+Z19*AG19+AA19*AH19)/100</f>
        <v>17.303028872250913</v>
      </c>
      <c r="AJ19" s="14">
        <f t="shared" si="27"/>
        <v>22.66257001061642</v>
      </c>
      <c r="AK19" s="21">
        <f aca="true" t="shared" si="38" ref="AK19:AK24">Q19*1000000/AI19/40000</f>
        <v>138.5366381498723</v>
      </c>
      <c r="AL19" s="16">
        <f t="shared" si="28"/>
        <v>2.3971034497718176</v>
      </c>
      <c r="AM19" s="21">
        <f aca="true" t="shared" si="39" ref="AM19:AM24">Q19*1000000/AI19/P19</f>
        <v>6330.470381430095</v>
      </c>
      <c r="AN19" s="15">
        <f t="shared" si="9"/>
        <v>1858.6913032110374</v>
      </c>
      <c r="AO19" s="51">
        <f t="shared" si="10"/>
        <v>1763.01569996793</v>
      </c>
      <c r="AP19" s="15">
        <f t="shared" si="11"/>
        <v>2245.4326667963455</v>
      </c>
      <c r="AQ19" s="15">
        <f t="shared" si="12"/>
        <v>379.5355603593164</v>
      </c>
      <c r="AR19" s="15">
        <f t="shared" si="13"/>
        <v>63.399288453503075</v>
      </c>
      <c r="AS19" s="15">
        <f t="shared" si="14"/>
        <v>8.20836873922768</v>
      </c>
      <c r="AT19" s="15">
        <f t="shared" si="15"/>
        <v>12.187493902734714</v>
      </c>
      <c r="AU19" s="26">
        <f aca="true" t="shared" si="40" ref="AU19:AZ19">AO19/AN18</f>
        <v>2.604858183626305</v>
      </c>
      <c r="AV19" s="27">
        <f t="shared" si="40"/>
        <v>0.3391957491954533</v>
      </c>
      <c r="AW19" s="27">
        <f t="shared" si="40"/>
        <v>0.2780323710666605</v>
      </c>
      <c r="AX19" s="27">
        <f t="shared" si="40"/>
        <v>0.22930967065079774</v>
      </c>
      <c r="AY19" s="27">
        <f t="shared" si="40"/>
        <v>0.1895215900221591</v>
      </c>
      <c r="AZ19" s="27">
        <f t="shared" si="40"/>
        <v>0.15546773925759788</v>
      </c>
      <c r="BA19" s="35">
        <f aca="true" t="shared" si="41" ref="BA19:BF19">-LN(AU19)</f>
        <v>-0.9573782336567385</v>
      </c>
      <c r="BB19" s="35">
        <f t="shared" si="41"/>
        <v>1.0811779069959402</v>
      </c>
      <c r="BC19" s="35">
        <f t="shared" si="41"/>
        <v>1.280017729384594</v>
      </c>
      <c r="BD19" s="35">
        <f t="shared" si="41"/>
        <v>1.4726819153421107</v>
      </c>
      <c r="BE19" s="35">
        <f t="shared" si="41"/>
        <v>1.6632523294340067</v>
      </c>
      <c r="BF19" s="35">
        <f t="shared" si="41"/>
        <v>1.8613170334679656</v>
      </c>
      <c r="BG19" s="2">
        <f t="shared" si="18"/>
        <v>789.1183730333294</v>
      </c>
      <c r="BH19" s="1">
        <v>749</v>
      </c>
      <c r="BI19" s="2">
        <f t="shared" si="30"/>
        <v>101.34200643214918</v>
      </c>
      <c r="BJ19" s="2">
        <f t="shared" si="19"/>
        <v>639.4681185546506</v>
      </c>
      <c r="BK19" s="2">
        <f t="shared" si="20"/>
        <v>59.27295931878898</v>
      </c>
      <c r="BL19" s="2">
        <f t="shared" si="21"/>
        <v>84.99499213524531</v>
      </c>
      <c r="BM19" s="2">
        <f t="shared" si="22"/>
        <v>14.667526258179507</v>
      </c>
      <c r="BN19" s="2">
        <f t="shared" si="23"/>
        <v>2.46867430142327</v>
      </c>
      <c r="BO19" s="2">
        <f t="shared" si="24"/>
        <v>0.3202019503975737</v>
      </c>
      <c r="BP19" s="2">
        <f t="shared" si="25"/>
        <v>801.192472518685</v>
      </c>
      <c r="BQ19" s="2">
        <f t="shared" si="26"/>
        <v>161.72435396403466</v>
      </c>
      <c r="BS19" s="55">
        <f>BB19-$BK$5</f>
        <v>0.5736259285437728</v>
      </c>
      <c r="BT19" s="55">
        <f>BC19-$BL$5</f>
        <v>0.46840930144067183</v>
      </c>
      <c r="BU19" s="55">
        <f>BD19-$BM$5</f>
        <v>0.44633465660720795</v>
      </c>
      <c r="BV19" s="55">
        <f>BE19-$BN$5</f>
        <v>0.43911713414515186</v>
      </c>
      <c r="BW19" s="55">
        <f>BF19-$BO$5</f>
        <v>0.43835110909450425</v>
      </c>
      <c r="BY19">
        <v>7</v>
      </c>
      <c r="BZ19" s="3">
        <v>22.56804379414287</v>
      </c>
      <c r="CD19" t="s">
        <v>57</v>
      </c>
      <c r="CE19" t="s">
        <v>56</v>
      </c>
      <c r="CG19">
        <v>1.2</v>
      </c>
      <c r="CH19">
        <v>771.4285732580478</v>
      </c>
      <c r="CI19">
        <v>1405.4352254741586</v>
      </c>
      <c r="CK19">
        <v>1.2</v>
      </c>
      <c r="CL19">
        <v>578.9188360834976</v>
      </c>
      <c r="CM19">
        <v>1177.9817314306151</v>
      </c>
    </row>
    <row r="20" spans="1:83" ht="15">
      <c r="A20" s="1">
        <v>5</v>
      </c>
      <c r="B20" s="1">
        <v>5</v>
      </c>
      <c r="C20" s="8">
        <v>3</v>
      </c>
      <c r="D20" s="28">
        <v>5</v>
      </c>
      <c r="E20" s="37">
        <v>4</v>
      </c>
      <c r="F20" s="40">
        <v>1</v>
      </c>
      <c r="G20" s="40">
        <v>1</v>
      </c>
      <c r="H20" s="40">
        <v>1</v>
      </c>
      <c r="I20">
        <f>5*500+3*400</f>
        <v>3700</v>
      </c>
      <c r="J20" s="43">
        <v>800</v>
      </c>
      <c r="K20" s="43">
        <v>0</v>
      </c>
      <c r="L20">
        <f>SUM($I$5:I20)-SUM($J$5:J20)-SUM(K5:K20)</f>
        <v>16300</v>
      </c>
      <c r="N20">
        <v>2021</v>
      </c>
      <c r="O20" s="29">
        <v>8</v>
      </c>
      <c r="P20" s="29">
        <v>1304.3636875273482</v>
      </c>
      <c r="Q20" s="29">
        <f>157776.382168446/1000</f>
        <v>157.776382168446</v>
      </c>
      <c r="R20" s="30">
        <f t="shared" si="36"/>
        <v>120.96042206413995</v>
      </c>
      <c r="S20" s="30">
        <f t="shared" si="33"/>
        <v>19.72204777105575</v>
      </c>
      <c r="T20" s="29"/>
      <c r="U20" s="31">
        <v>16.85807727402631</v>
      </c>
      <c r="V20" s="29">
        <v>70.33387786021399</v>
      </c>
      <c r="W20" s="29">
        <v>5.790411203914168</v>
      </c>
      <c r="X20" s="29">
        <v>6.049345330578626</v>
      </c>
      <c r="Y20" s="29">
        <v>0.840164445359051</v>
      </c>
      <c r="Z20" s="29">
        <v>0.11582519488613767</v>
      </c>
      <c r="AA20" s="29">
        <v>0.012298691021724303</v>
      </c>
      <c r="AB20" s="31">
        <v>4.64921530781241</v>
      </c>
      <c r="AC20" s="29">
        <v>16.309618780803124</v>
      </c>
      <c r="AD20" s="29">
        <v>25.681236293299865</v>
      </c>
      <c r="AE20" s="29">
        <v>30.75673743500062</v>
      </c>
      <c r="AF20" s="29">
        <v>33.68537332312921</v>
      </c>
      <c r="AG20" s="29">
        <v>35.129524105348814</v>
      </c>
      <c r="AH20" s="29">
        <v>35.77786675113766</v>
      </c>
      <c r="AI20" s="29">
        <f t="shared" si="37"/>
        <v>15.930687684467783</v>
      </c>
      <c r="AJ20" s="14">
        <f t="shared" si="27"/>
        <v>18.218149013901723</v>
      </c>
      <c r="AK20" s="32">
        <f t="shared" si="38"/>
        <v>247.5981974122121</v>
      </c>
      <c r="AL20" s="33">
        <f t="shared" si="28"/>
        <v>3.94440955421115</v>
      </c>
      <c r="AM20" s="32">
        <f t="shared" si="39"/>
        <v>7592.919054089223</v>
      </c>
      <c r="AN20" s="30">
        <f aca="true" t="shared" si="42" ref="AN20:AN25">U20*$AM20/100</f>
        <v>1280.0201614926289</v>
      </c>
      <c r="AO20" s="30">
        <f t="shared" si="10"/>
        <v>5340.394413528029</v>
      </c>
      <c r="AP20" s="30">
        <f t="shared" si="11"/>
        <v>439.66123561211606</v>
      </c>
      <c r="AQ20" s="30">
        <f t="shared" si="12"/>
        <v>459.32189425316113</v>
      </c>
      <c r="AR20" s="30">
        <f t="shared" si="13"/>
        <v>63.79300625735043</v>
      </c>
      <c r="AS20" s="30">
        <f t="shared" si="14"/>
        <v>8.794513291945524</v>
      </c>
      <c r="AT20" s="30">
        <f t="shared" si="15"/>
        <v>0.9338296539920653</v>
      </c>
      <c r="AU20" s="34">
        <f aca="true" t="shared" si="43" ref="AU20:AZ20">AO20/AN19</f>
        <v>2.873201377927616</v>
      </c>
      <c r="AV20" s="35">
        <f t="shared" si="43"/>
        <v>0.24938021574062766</v>
      </c>
      <c r="AW20" s="35">
        <f t="shared" si="43"/>
        <v>0.20455830230193242</v>
      </c>
      <c r="AX20" s="35">
        <f t="shared" si="43"/>
        <v>0.16808176339775882</v>
      </c>
      <c r="AY20" s="35">
        <f t="shared" si="43"/>
        <v>0.138716277524083</v>
      </c>
      <c r="AZ20" s="35">
        <f t="shared" si="43"/>
        <v>0.11376555849998629</v>
      </c>
      <c r="BA20" s="35">
        <f aca="true" t="shared" si="44" ref="BA20:BF20">-LN(AU20)</f>
        <v>-1.0554268707978238</v>
      </c>
      <c r="BB20" s="35">
        <f t="shared" si="44"/>
        <v>1.3887765763060926</v>
      </c>
      <c r="BC20" s="35">
        <f t="shared" si="44"/>
        <v>1.5869022473006942</v>
      </c>
      <c r="BD20" s="35">
        <f t="shared" si="44"/>
        <v>1.7833047310811094</v>
      </c>
      <c r="BE20" s="35">
        <f t="shared" si="44"/>
        <v>1.9753246007672582</v>
      </c>
      <c r="BF20" s="35">
        <f t="shared" si="44"/>
        <v>2.1736154524824807</v>
      </c>
      <c r="BG20" s="30">
        <f aca="true" t="shared" si="45" ref="BG20:BG25">AVERAGE(P19:P20)</f>
        <v>1089.863816200534</v>
      </c>
      <c r="BI20" s="2">
        <f t="shared" si="30"/>
        <v>115.00933273501991</v>
      </c>
      <c r="BJ20" s="2">
        <f t="shared" si="19"/>
        <v>356.5004938367903</v>
      </c>
      <c r="BK20" s="2">
        <f t="shared" si="20"/>
        <v>179.54518545983044</v>
      </c>
      <c r="BL20" s="2">
        <f t="shared" si="21"/>
        <v>16.642228384581216</v>
      </c>
      <c r="BM20" s="2">
        <f t="shared" si="22"/>
        <v>17.750947865166534</v>
      </c>
      <c r="BN20" s="2">
        <f t="shared" si="23"/>
        <v>2.484005089009058</v>
      </c>
      <c r="BO20" s="2">
        <f t="shared" si="24"/>
        <v>0.3430669842377599</v>
      </c>
      <c r="BP20" s="2">
        <f t="shared" si="25"/>
        <v>573.2659276196154</v>
      </c>
      <c r="BQ20" s="2">
        <f t="shared" si="26"/>
        <v>216.765433782825</v>
      </c>
      <c r="BS20" s="55">
        <f>BB20-$BK$5</f>
        <v>0.8812245978539253</v>
      </c>
      <c r="BT20" s="55">
        <f>BC20-$BL$5</f>
        <v>0.775293819356772</v>
      </c>
      <c r="BU20" s="55">
        <f>BD20-$BM$5</f>
        <v>0.7569574723462067</v>
      </c>
      <c r="BV20" s="55">
        <f>BE20-$BN$5</f>
        <v>0.7511894054784034</v>
      </c>
      <c r="BW20" s="55">
        <f>BF20-$BO$5</f>
        <v>0.7506495281090193</v>
      </c>
      <c r="CD20" s="2">
        <f>SUM(CD14:CD18)</f>
        <v>578.9188360834976</v>
      </c>
      <c r="CE20" s="2">
        <f>SUM(CE13:CE18)</f>
        <v>1177.9817314306151</v>
      </c>
    </row>
    <row r="21" spans="1:75" ht="15">
      <c r="A21" s="1">
        <v>1</v>
      </c>
      <c r="B21" s="1">
        <v>1</v>
      </c>
      <c r="C21" s="8">
        <v>4</v>
      </c>
      <c r="D21" s="28">
        <v>1</v>
      </c>
      <c r="E21" s="37">
        <v>5</v>
      </c>
      <c r="F21" s="40">
        <v>2</v>
      </c>
      <c r="G21" s="40">
        <v>2</v>
      </c>
      <c r="H21" s="40">
        <v>2</v>
      </c>
      <c r="I21">
        <f>5*500+3*400</f>
        <v>3700</v>
      </c>
      <c r="J21" s="43">
        <v>800</v>
      </c>
      <c r="K21" s="40">
        <v>1400</v>
      </c>
      <c r="L21">
        <f>SUM($I$5:I21)-SUM($J$5:J21)-SUM(K6:K21)</f>
        <v>17800</v>
      </c>
      <c r="N21">
        <v>2022</v>
      </c>
      <c r="O21" s="14">
        <v>8</v>
      </c>
      <c r="P21" s="14">
        <v>1178.318487867768</v>
      </c>
      <c r="Q21" s="14">
        <f>102884.304753823/1000</f>
        <v>102.884304753823</v>
      </c>
      <c r="R21" s="15">
        <f t="shared" si="36"/>
        <v>87.31451285297051</v>
      </c>
      <c r="S21" s="47">
        <f t="shared" si="33"/>
        <v>12.860538094227875</v>
      </c>
      <c r="T21" s="14"/>
      <c r="U21" s="20">
        <v>18.340419547099348</v>
      </c>
      <c r="V21" s="14">
        <v>54.19545572886781</v>
      </c>
      <c r="W21" s="14">
        <v>24.2428475373202</v>
      </c>
      <c r="X21" s="14">
        <v>1.6366986658794875</v>
      </c>
      <c r="Y21" s="14">
        <v>1.4052135425840897</v>
      </c>
      <c r="Z21" s="14">
        <v>0.16114019958610593</v>
      </c>
      <c r="AA21" s="14">
        <v>0.018224778662962272</v>
      </c>
      <c r="AB21" s="20">
        <v>3.0014668668356728</v>
      </c>
      <c r="AC21" s="14">
        <v>13.145944424755605</v>
      </c>
      <c r="AD21" s="14">
        <v>22.349840121710887</v>
      </c>
      <c r="AE21" s="14">
        <v>29.37404748108311</v>
      </c>
      <c r="AF21" s="14">
        <v>32.88113944557143</v>
      </c>
      <c r="AG21" s="14">
        <v>34.83698387265711</v>
      </c>
      <c r="AH21" s="14">
        <v>35.78570778217917</v>
      </c>
      <c r="AI21" s="14">
        <f t="shared" si="37"/>
        <v>14.098696891407297</v>
      </c>
      <c r="AJ21" s="14">
        <f t="shared" si="27"/>
        <v>16.591090966082973</v>
      </c>
      <c r="AK21" s="21">
        <f t="shared" si="38"/>
        <v>182.4358406068856</v>
      </c>
      <c r="AL21" s="16">
        <f aca="true" t="shared" si="46" ref="AL21:AL26">Q21*1000/40000</f>
        <v>2.572107618845575</v>
      </c>
      <c r="AM21" s="21">
        <f t="shared" si="39"/>
        <v>6193.0910016361795</v>
      </c>
      <c r="AN21" s="15">
        <f t="shared" si="42"/>
        <v>1135.8388726337328</v>
      </c>
      <c r="AO21" s="15">
        <f t="shared" si="10"/>
        <v>3356.3738920402316</v>
      </c>
      <c r="AP21" s="15">
        <f t="shared" si="11"/>
        <v>1501.3816093741552</v>
      </c>
      <c r="AQ21" s="15">
        <f t="shared" si="12"/>
        <v>101.36223780048195</v>
      </c>
      <c r="AR21" s="15">
        <f t="shared" si="13"/>
        <v>87.02615345954824</v>
      </c>
      <c r="AS21" s="15">
        <f t="shared" si="14"/>
        <v>9.979559200585706</v>
      </c>
      <c r="AT21" s="15">
        <f t="shared" si="15"/>
        <v>1.128677127444027</v>
      </c>
      <c r="AU21" s="26">
        <f aca="true" t="shared" si="47" ref="AU21:AZ24">AO21/AN20</f>
        <v>2.6221258016173516</v>
      </c>
      <c r="AV21" s="27">
        <f t="shared" si="47"/>
        <v>0.28113683992532984</v>
      </c>
      <c r="AW21" s="27">
        <f t="shared" si="47"/>
        <v>0.23054622420682802</v>
      </c>
      <c r="AX21" s="27">
        <f t="shared" si="47"/>
        <v>0.18946659096459847</v>
      </c>
      <c r="AY21" s="27">
        <f t="shared" si="47"/>
        <v>0.1564365717509328</v>
      </c>
      <c r="AZ21" s="27">
        <f t="shared" si="47"/>
        <v>0.12833878237215568</v>
      </c>
      <c r="BA21" s="27">
        <f aca="true" t="shared" si="48" ref="BA21:BF24">-LN(AU21)</f>
        <v>-0.963985363449637</v>
      </c>
      <c r="BB21" s="27">
        <f t="shared" si="48"/>
        <v>1.2689137533589123</v>
      </c>
      <c r="BC21" s="27">
        <f t="shared" si="48"/>
        <v>1.4673038977924067</v>
      </c>
      <c r="BD21" s="27">
        <f t="shared" si="48"/>
        <v>1.6635425709808724</v>
      </c>
      <c r="BE21" s="27">
        <f t="shared" si="48"/>
        <v>1.85510464348137</v>
      </c>
      <c r="BF21" s="27">
        <f t="shared" si="48"/>
        <v>2.053081774221093</v>
      </c>
      <c r="BG21" s="15">
        <f t="shared" si="45"/>
        <v>1241.3410876975581</v>
      </c>
      <c r="BI21" s="2">
        <f t="shared" si="30"/>
        <v>83.90533011069638</v>
      </c>
      <c r="BJ21" s="2">
        <f t="shared" si="19"/>
        <v>2636.5118402786657</v>
      </c>
      <c r="BK21" s="2">
        <f t="shared" si="20"/>
        <v>112.84199747351366</v>
      </c>
      <c r="BL21" s="2">
        <f t="shared" si="21"/>
        <v>56.83088162372946</v>
      </c>
      <c r="BM21" s="2">
        <f t="shared" si="22"/>
        <v>3.917243704697591</v>
      </c>
      <c r="BN21" s="2">
        <f t="shared" si="23"/>
        <v>3.388669397368194</v>
      </c>
      <c r="BO21" s="2">
        <f t="shared" si="24"/>
        <v>0.38929468468740536</v>
      </c>
      <c r="BP21" s="2">
        <f t="shared" si="25"/>
        <v>2813.879927162662</v>
      </c>
      <c r="BQ21" s="2">
        <f t="shared" si="26"/>
        <v>177.3680868839963</v>
      </c>
      <c r="BS21" s="55">
        <f>BB21-$BK$5</f>
        <v>0.761361774906745</v>
      </c>
      <c r="BT21" s="55">
        <f>BC21-$BL$5</f>
        <v>0.6556954698484845</v>
      </c>
      <c r="BU21" s="55">
        <f>BD21-$BM$5</f>
        <v>0.6371953122459697</v>
      </c>
      <c r="BV21" s="55">
        <f>BE21-$BN$5</f>
        <v>0.6309694481925152</v>
      </c>
      <c r="BW21" s="55">
        <f>BF21-$BO$5</f>
        <v>0.6301158498476318</v>
      </c>
    </row>
    <row r="22" spans="1:75" ht="15">
      <c r="A22" s="1">
        <v>2</v>
      </c>
      <c r="B22" s="1">
        <v>2</v>
      </c>
      <c r="C22" s="8">
        <v>5</v>
      </c>
      <c r="D22" s="28">
        <v>2</v>
      </c>
      <c r="E22" s="37">
        <v>1</v>
      </c>
      <c r="F22" s="40">
        <v>3</v>
      </c>
      <c r="G22" s="40">
        <v>3</v>
      </c>
      <c r="H22" s="40">
        <v>3</v>
      </c>
      <c r="I22">
        <f>5*500+3*400</f>
        <v>3700</v>
      </c>
      <c r="J22" s="46">
        <v>3800</v>
      </c>
      <c r="K22" s="46">
        <v>0</v>
      </c>
      <c r="L22">
        <f>SUM($I$5:I22)-SUM($J$5:J22)-SUM(K7:K22)</f>
        <v>17700</v>
      </c>
      <c r="N22">
        <v>2023</v>
      </c>
      <c r="O22" s="29">
        <v>8</v>
      </c>
      <c r="P22" s="29">
        <v>1155.786362883795</v>
      </c>
      <c r="Q22" s="29">
        <f>174538.931436864/1000</f>
        <v>174.53893143686398</v>
      </c>
      <c r="R22" s="30">
        <f t="shared" si="36"/>
        <v>151.0131431222056</v>
      </c>
      <c r="S22" s="45">
        <f t="shared" si="33"/>
        <v>21.817366429607997</v>
      </c>
      <c r="T22" s="29"/>
      <c r="U22" s="31">
        <v>1.6340340492962255</v>
      </c>
      <c r="V22" s="49">
        <v>93.40661694282426</v>
      </c>
      <c r="W22" s="29">
        <v>3.5507967318032825</v>
      </c>
      <c r="X22" s="29">
        <v>1.282693965846841</v>
      </c>
      <c r="Y22" s="29">
        <v>0.07091896071973273</v>
      </c>
      <c r="Z22" s="29">
        <v>0.05021623891293187</v>
      </c>
      <c r="AA22" s="29">
        <v>0.00472311059671273</v>
      </c>
      <c r="AB22" s="31">
        <v>3.65763683631257</v>
      </c>
      <c r="AC22" s="29">
        <v>10.086718895574867</v>
      </c>
      <c r="AD22" s="29">
        <v>16.693450735969954</v>
      </c>
      <c r="AE22" s="29">
        <v>21.209505662519533</v>
      </c>
      <c r="AF22" s="29">
        <v>25.30048964108618</v>
      </c>
      <c r="AG22" s="29">
        <v>28.126708947093793</v>
      </c>
      <c r="AH22" s="29">
        <v>29.79974911157762</v>
      </c>
      <c r="AI22" s="29">
        <f t="shared" si="37"/>
        <v>10.379707959452894</v>
      </c>
      <c r="AJ22" s="14">
        <f t="shared" si="27"/>
        <v>10.491373544097351</v>
      </c>
      <c r="AK22" s="32">
        <f t="shared" si="38"/>
        <v>420.38497643353685</v>
      </c>
      <c r="AL22" s="33">
        <f t="shared" si="46"/>
        <v>4.3634732859216</v>
      </c>
      <c r="AM22" s="32">
        <f t="shared" si="39"/>
        <v>14548.881694178745</v>
      </c>
      <c r="AN22" s="30">
        <f t="shared" si="42"/>
        <v>237.73368067470622</v>
      </c>
      <c r="AO22" s="50">
        <f t="shared" si="10"/>
        <v>13589.61819354622</v>
      </c>
      <c r="AP22" s="30">
        <f t="shared" si="11"/>
        <v>516.6012157108249</v>
      </c>
      <c r="AQ22" s="30">
        <f t="shared" si="12"/>
        <v>186.6176275894264</v>
      </c>
      <c r="AR22" s="30">
        <f t="shared" si="13"/>
        <v>10.317915693855012</v>
      </c>
      <c r="AS22" s="30">
        <f t="shared" si="14"/>
        <v>7.305901190708608</v>
      </c>
      <c r="AT22" s="30">
        <f t="shared" si="15"/>
        <v>0.6871597730009549</v>
      </c>
      <c r="AU22" s="34">
        <f t="shared" si="47"/>
        <v>11.96438907046315</v>
      </c>
      <c r="AV22" s="35">
        <f t="shared" si="47"/>
        <v>0.1539164682861955</v>
      </c>
      <c r="AW22" s="35">
        <f t="shared" si="47"/>
        <v>0.12429726488205567</v>
      </c>
      <c r="AX22" s="35">
        <f t="shared" si="47"/>
        <v>0.1017925010117126</v>
      </c>
      <c r="AY22" s="35">
        <f t="shared" si="47"/>
        <v>0.08395063897779372</v>
      </c>
      <c r="AZ22" s="35">
        <f t="shared" si="47"/>
        <v>0.06885672595244738</v>
      </c>
      <c r="BA22" s="35">
        <f t="shared" si="48"/>
        <v>-2.4819346603378274</v>
      </c>
      <c r="BB22" s="35">
        <f t="shared" si="48"/>
        <v>1.8713452374540527</v>
      </c>
      <c r="BC22" s="35">
        <f t="shared" si="48"/>
        <v>2.085079284874456</v>
      </c>
      <c r="BD22" s="35">
        <f t="shared" si="48"/>
        <v>2.2848188415111315</v>
      </c>
      <c r="BE22" s="35">
        <f t="shared" si="48"/>
        <v>2.4775262840784564</v>
      </c>
      <c r="BF22" s="35">
        <f t="shared" si="48"/>
        <v>2.6757273686376863</v>
      </c>
      <c r="BG22" s="30">
        <f t="shared" si="45"/>
        <v>1167.0524253757815</v>
      </c>
      <c r="BH22" s="1">
        <v>884</v>
      </c>
      <c r="BI22" s="2">
        <f t="shared" si="30"/>
        <v>150.1435996545376</v>
      </c>
      <c r="BJ22" s="2">
        <f t="shared" si="19"/>
        <v>200.2475926783406</v>
      </c>
      <c r="BK22" s="2">
        <f t="shared" si="20"/>
        <v>456.8858271418638</v>
      </c>
      <c r="BL22" s="2">
        <f t="shared" si="21"/>
        <v>19.55459048747424</v>
      </c>
      <c r="BM22" s="2">
        <f t="shared" si="22"/>
        <v>7.212022373649728</v>
      </c>
      <c r="BN22" s="2">
        <f t="shared" si="23"/>
        <v>0.4017643405627892</v>
      </c>
      <c r="BO22" s="2">
        <f t="shared" si="24"/>
        <v>0.28499740752350283</v>
      </c>
      <c r="BP22" s="2">
        <f t="shared" si="25"/>
        <v>684.5867944294146</v>
      </c>
      <c r="BQ22" s="2">
        <f t="shared" si="26"/>
        <v>484.3392017510741</v>
      </c>
      <c r="BS22" s="55">
        <f>BB22-$BK$5</f>
        <v>1.3637932590018853</v>
      </c>
      <c r="BT22" s="55">
        <f>BC22-$BL$5</f>
        <v>1.2734708569305337</v>
      </c>
      <c r="BU22" s="55">
        <f>BD22-$BM$5</f>
        <v>1.2584715827762287</v>
      </c>
      <c r="BV22" s="55">
        <f>BE22-$BN$5</f>
        <v>1.2533910887896016</v>
      </c>
      <c r="BW22" s="55">
        <f>BF22-$BO$5</f>
        <v>1.252761444264225</v>
      </c>
    </row>
    <row r="23" spans="1:75" ht="15">
      <c r="A23" s="1">
        <v>3</v>
      </c>
      <c r="B23" s="1">
        <v>3</v>
      </c>
      <c r="C23" s="8">
        <v>1</v>
      </c>
      <c r="D23" s="28">
        <v>3</v>
      </c>
      <c r="E23" s="37">
        <v>2</v>
      </c>
      <c r="F23" s="40">
        <v>4</v>
      </c>
      <c r="G23" s="40">
        <v>4</v>
      </c>
      <c r="H23" s="40">
        <v>4</v>
      </c>
      <c r="I23">
        <f>5*500+3*400</f>
        <v>3700</v>
      </c>
      <c r="J23" s="46">
        <v>800</v>
      </c>
      <c r="K23" s="46">
        <v>0</v>
      </c>
      <c r="L23">
        <f>SUM($I$5:I23)-SUM($J$5:J23)-SUM(K8:K23)</f>
        <v>20600</v>
      </c>
      <c r="N23">
        <v>2024</v>
      </c>
      <c r="O23" s="14">
        <v>8</v>
      </c>
      <c r="P23" s="14">
        <v>1073.250695531574</v>
      </c>
      <c r="Q23" s="14">
        <f>172724.5486518/1000</f>
        <v>172.7245486518</v>
      </c>
      <c r="R23" s="15">
        <f t="shared" si="36"/>
        <v>160.9358832665379</v>
      </c>
      <c r="S23" s="17">
        <f t="shared" si="33"/>
        <v>21.590568581475</v>
      </c>
      <c r="T23" s="14"/>
      <c r="U23" s="14">
        <v>10.969642182202797</v>
      </c>
      <c r="V23" s="14">
        <v>28.682566934249586</v>
      </c>
      <c r="W23" s="14">
        <v>58.12534285289729</v>
      </c>
      <c r="X23" s="14">
        <v>1.690332348565041</v>
      </c>
      <c r="Y23" s="14">
        <v>0.4962982400775789</v>
      </c>
      <c r="Z23" s="14">
        <v>0.022637264669887216</v>
      </c>
      <c r="AA23" s="14">
        <v>0.013180177337808002</v>
      </c>
      <c r="AB23" s="14">
        <v>4.3410856246105345</v>
      </c>
      <c r="AC23" s="14">
        <v>13.902537076896047</v>
      </c>
      <c r="AD23" s="14">
        <v>18.926130083464617</v>
      </c>
      <c r="AE23" s="14">
        <v>23.343577098326666</v>
      </c>
      <c r="AF23" s="14">
        <v>25.957895157677505</v>
      </c>
      <c r="AG23" s="14">
        <v>28.145558606784103</v>
      </c>
      <c r="AH23" s="14">
        <v>29.57970733156009</v>
      </c>
      <c r="AI23" s="14">
        <f t="shared" si="37"/>
        <v>15.998366716592454</v>
      </c>
      <c r="AJ23" s="14">
        <f t="shared" si="27"/>
        <v>17.434688051592605</v>
      </c>
      <c r="AK23" s="21">
        <f t="shared" si="38"/>
        <v>269.90965970398315</v>
      </c>
      <c r="AL23" s="16">
        <f t="shared" si="46"/>
        <v>4.318113716295</v>
      </c>
      <c r="AM23" s="21">
        <f t="shared" si="39"/>
        <v>10059.519582059947</v>
      </c>
      <c r="AN23" s="15">
        <f t="shared" si="42"/>
        <v>1103.4933034005985</v>
      </c>
      <c r="AO23" s="51">
        <f t="shared" si="10"/>
        <v>2885.3284373882884</v>
      </c>
      <c r="AP23" s="15">
        <f t="shared" si="11"/>
        <v>5847.1302464266855</v>
      </c>
      <c r="AQ23" s="15">
        <f t="shared" si="12"/>
        <v>170.03931360579412</v>
      </c>
      <c r="AR23" s="15">
        <f t="shared" si="13"/>
        <v>49.92521864602294</v>
      </c>
      <c r="AS23" s="15">
        <f t="shared" si="14"/>
        <v>2.2772000723100425</v>
      </c>
      <c r="AT23" s="15">
        <f t="shared" si="15"/>
        <v>1.3258625202470233</v>
      </c>
      <c r="AU23" s="26">
        <f t="shared" si="47"/>
        <v>12.136809682159917</v>
      </c>
      <c r="AV23" s="27">
        <f t="shared" si="47"/>
        <v>0.43026449773280007</v>
      </c>
      <c r="AW23" s="27">
        <f t="shared" si="47"/>
        <v>0.32915004540170517</v>
      </c>
      <c r="AX23" s="27">
        <f t="shared" si="47"/>
        <v>0.2675268102532221</v>
      </c>
      <c r="AY23" s="27">
        <f t="shared" si="47"/>
        <v>0.2207034967019805</v>
      </c>
      <c r="AZ23" s="27">
        <f t="shared" si="47"/>
        <v>0.1814782989308984</v>
      </c>
      <c r="BA23" s="27">
        <f t="shared" si="48"/>
        <v>-2.4962429572037115</v>
      </c>
      <c r="BB23" s="27">
        <f t="shared" si="48"/>
        <v>0.84335514839125</v>
      </c>
      <c r="BC23" s="27">
        <f t="shared" si="48"/>
        <v>1.111241567132046</v>
      </c>
      <c r="BD23" s="27">
        <f t="shared" si="48"/>
        <v>1.3185354924226</v>
      </c>
      <c r="BE23" s="27">
        <f t="shared" si="48"/>
        <v>1.51093512215678</v>
      </c>
      <c r="BF23" s="27">
        <f t="shared" si="48"/>
        <v>1.7066191975447274</v>
      </c>
      <c r="BG23" s="15">
        <f t="shared" si="45"/>
        <v>1114.5185292076844</v>
      </c>
      <c r="BI23" s="2">
        <f t="shared" si="30"/>
        <v>156.14552435029157</v>
      </c>
      <c r="BJ23" s="2">
        <f t="shared" si="19"/>
        <v>422.4223648700824</v>
      </c>
      <c r="BK23" s="2">
        <f t="shared" si="20"/>
        <v>97.00535003390607</v>
      </c>
      <c r="BL23" s="2">
        <f t="shared" si="21"/>
        <v>221.3278521585994</v>
      </c>
      <c r="BM23" s="2">
        <f t="shared" si="22"/>
        <v>6.571337070167065</v>
      </c>
      <c r="BN23" s="2">
        <f t="shared" si="23"/>
        <v>1.9440139987496132</v>
      </c>
      <c r="BO23" s="2">
        <f t="shared" si="24"/>
        <v>0.08883176764641522</v>
      </c>
      <c r="BP23" s="2">
        <f t="shared" si="25"/>
        <v>749.3597498991509</v>
      </c>
      <c r="BQ23" s="2">
        <f t="shared" si="26"/>
        <v>326.9373850290686</v>
      </c>
      <c r="BS23" s="55">
        <f>BB23-$BK$5</f>
        <v>0.33580316993908266</v>
      </c>
      <c r="BT23" s="55">
        <f>BC23-$BL$5</f>
        <v>0.29963313918812373</v>
      </c>
      <c r="BU23" s="55">
        <f>BD23-$BM$5</f>
        <v>0.2921882336876973</v>
      </c>
      <c r="BV23" s="55">
        <f>BE23-$BN$5</f>
        <v>0.2867999268679251</v>
      </c>
      <c r="BW23" s="55">
        <f>BF23-$BO$5</f>
        <v>0.283653273171266</v>
      </c>
    </row>
    <row r="24" spans="1:75" ht="15">
      <c r="A24" s="1">
        <v>4</v>
      </c>
      <c r="B24" s="1">
        <v>4</v>
      </c>
      <c r="C24" s="8">
        <v>2</v>
      </c>
      <c r="D24" s="28">
        <v>4</v>
      </c>
      <c r="E24" s="37">
        <v>3</v>
      </c>
      <c r="F24" s="40">
        <v>5</v>
      </c>
      <c r="G24" s="40">
        <v>5</v>
      </c>
      <c r="H24" s="40">
        <v>5</v>
      </c>
      <c r="I24">
        <f>5*500+3*400</f>
        <v>3700</v>
      </c>
      <c r="J24" s="46">
        <v>3800</v>
      </c>
      <c r="K24" s="46">
        <v>0</v>
      </c>
      <c r="L24">
        <f>SUM($I$5:I24)-SUM($J$5:J24)-SUM(K9:K24)</f>
        <v>20500</v>
      </c>
      <c r="N24">
        <v>2025</v>
      </c>
      <c r="O24" s="29">
        <v>8</v>
      </c>
      <c r="P24" s="29">
        <v>1339.520858227561</v>
      </c>
      <c r="Q24" s="29">
        <f>154736.870837376/1000</f>
        <v>154.736870837376</v>
      </c>
      <c r="R24" s="30">
        <f t="shared" si="36"/>
        <v>115.51658183368798</v>
      </c>
      <c r="S24" s="45">
        <f t="shared" si="33"/>
        <v>19.342108854672</v>
      </c>
      <c r="T24" s="29"/>
      <c r="U24" s="29">
        <v>18.038717446176822</v>
      </c>
      <c r="V24" s="29">
        <v>52.95464225918509</v>
      </c>
      <c r="W24" s="29">
        <v>10.800900156574265</v>
      </c>
      <c r="X24" s="29">
        <v>17.679848294057273</v>
      </c>
      <c r="Y24" s="29">
        <v>0.42020330232111897</v>
      </c>
      <c r="Z24" s="29">
        <v>0.10186700373302203</v>
      </c>
      <c r="AA24" s="29">
        <v>0.0038215379524022194</v>
      </c>
      <c r="AB24" s="29">
        <v>4.921879081056828</v>
      </c>
      <c r="AC24" s="29">
        <v>16.981066919854975</v>
      </c>
      <c r="AD24" s="29">
        <v>24.651498232908093</v>
      </c>
      <c r="AE24" s="29">
        <v>28.101265803038046</v>
      </c>
      <c r="AF24" s="29">
        <v>30.845295309414908</v>
      </c>
      <c r="AG24" s="29">
        <v>32.3757480112779</v>
      </c>
      <c r="AH24" s="29">
        <v>33.612621355562915</v>
      </c>
      <c r="AI24" s="29">
        <f t="shared" si="37"/>
        <v>17.674829646617347</v>
      </c>
      <c r="AJ24" s="14">
        <f t="shared" si="27"/>
        <v>20.481604561421022</v>
      </c>
      <c r="AK24" s="32">
        <f t="shared" si="38"/>
        <v>218.86614175513415</v>
      </c>
      <c r="AL24" s="33">
        <f t="shared" si="46"/>
        <v>3.8684217709343995</v>
      </c>
      <c r="AM24" s="32">
        <f t="shared" si="39"/>
        <v>6535.6546084615775</v>
      </c>
      <c r="AN24" s="30">
        <f t="shared" si="42"/>
        <v>1178.948268078418</v>
      </c>
      <c r="AO24" s="30">
        <f t="shared" si="10"/>
        <v>3460.9325172067724</v>
      </c>
      <c r="AP24" s="30">
        <f t="shared" si="11"/>
        <v>705.9095288384798</v>
      </c>
      <c r="AQ24" s="30">
        <f t="shared" si="12"/>
        <v>1155.4938197995698</v>
      </c>
      <c r="AR24" s="30">
        <f t="shared" si="13"/>
        <v>27.46303649305795</v>
      </c>
      <c r="AS24" s="30">
        <f t="shared" si="14"/>
        <v>6.657675523978981</v>
      </c>
      <c r="AT24" s="30">
        <f t="shared" si="15"/>
        <v>0.24976252130028384</v>
      </c>
      <c r="AU24" s="34">
        <f t="shared" si="47"/>
        <v>3.1363421114938643</v>
      </c>
      <c r="AV24" s="35">
        <f t="shared" si="47"/>
        <v>0.2446548267057762</v>
      </c>
      <c r="AW24" s="35">
        <f t="shared" si="47"/>
        <v>0.19761725343910688</v>
      </c>
      <c r="AX24" s="35">
        <f t="shared" si="47"/>
        <v>0.16150992326825142</v>
      </c>
      <c r="AY24" s="35">
        <f t="shared" si="47"/>
        <v>0.13335295677286602</v>
      </c>
      <c r="AZ24" s="35">
        <f t="shared" si="47"/>
        <v>0.10967965631887547</v>
      </c>
      <c r="BA24" s="35">
        <f t="shared" si="48"/>
        <v>-1.1430571882134368</v>
      </c>
      <c r="BB24" s="35">
        <f t="shared" si="48"/>
        <v>1.4079069324173958</v>
      </c>
      <c r="BC24" s="35">
        <f t="shared" si="48"/>
        <v>1.6214231825048628</v>
      </c>
      <c r="BD24" s="35">
        <f t="shared" si="48"/>
        <v>1.823188693821597</v>
      </c>
      <c r="BE24" s="35">
        <f t="shared" si="48"/>
        <v>2.0147558555750646</v>
      </c>
      <c r="BF24" s="35">
        <f t="shared" si="48"/>
        <v>2.2101913772224524</v>
      </c>
      <c r="BG24" s="30">
        <f t="shared" si="45"/>
        <v>1206.3857768795674</v>
      </c>
      <c r="BH24" s="1">
        <v>339</v>
      </c>
      <c r="BI24" s="2">
        <f t="shared" si="30"/>
        <v>109.71394101538462</v>
      </c>
      <c r="BJ24" s="2">
        <f t="shared" si="19"/>
        <v>250.59676041386538</v>
      </c>
      <c r="BK24" s="2">
        <f t="shared" si="20"/>
        <v>116.35728048320983</v>
      </c>
      <c r="BL24" s="2">
        <f t="shared" si="21"/>
        <v>26.720362511437106</v>
      </c>
      <c r="BM24" s="2">
        <f t="shared" si="22"/>
        <v>44.655198914770956</v>
      </c>
      <c r="BN24" s="2">
        <f t="shared" si="23"/>
        <v>1.0693699264335437</v>
      </c>
      <c r="BO24" s="2">
        <f t="shared" si="24"/>
        <v>0.2597106386929735</v>
      </c>
      <c r="BP24" s="2">
        <f t="shared" si="25"/>
        <v>439.65868288840977</v>
      </c>
      <c r="BQ24" s="2">
        <f t="shared" si="26"/>
        <v>189.06192247454442</v>
      </c>
      <c r="BS24" s="55">
        <f>BB24-$BK$5</f>
        <v>0.9003549539652285</v>
      </c>
      <c r="BT24" s="55">
        <f>BC24-$BL$5</f>
        <v>0.8098147545609407</v>
      </c>
      <c r="BU24" s="55">
        <f>BD24-$BM$5</f>
        <v>0.7968414350866944</v>
      </c>
      <c r="BV24" s="55">
        <f>BE24-$BN$5</f>
        <v>0.7906206602862098</v>
      </c>
      <c r="BW24" s="55">
        <f>BF24-$BO$5</f>
        <v>0.787225452848991</v>
      </c>
    </row>
    <row r="25" spans="1:75" ht="15">
      <c r="A25" s="1">
        <v>5</v>
      </c>
      <c r="B25" s="1">
        <v>5</v>
      </c>
      <c r="C25" s="8">
        <v>3</v>
      </c>
      <c r="D25" s="28">
        <v>5</v>
      </c>
      <c r="E25" s="37">
        <v>4</v>
      </c>
      <c r="F25" s="48">
        <v>1</v>
      </c>
      <c r="G25" s="48">
        <v>1</v>
      </c>
      <c r="H25" s="48">
        <v>1</v>
      </c>
      <c r="I25">
        <f>8*500</f>
        <v>4000</v>
      </c>
      <c r="J25" s="46">
        <v>800</v>
      </c>
      <c r="K25" s="46">
        <v>0</v>
      </c>
      <c r="L25">
        <f>SUM($I$5:I25)-SUM($J$5:J25)-SUM(K10:K25)</f>
        <v>23700</v>
      </c>
      <c r="N25">
        <v>2026</v>
      </c>
      <c r="O25" s="14">
        <v>8</v>
      </c>
      <c r="P25" s="14">
        <v>1337.3684799462767</v>
      </c>
      <c r="Q25" s="14">
        <f>98626.6772151612/1000</f>
        <v>98.6266772151612</v>
      </c>
      <c r="R25" s="15">
        <f>Q25/P25*1000</f>
        <v>73.74682347764254</v>
      </c>
      <c r="S25" s="47">
        <f>Q25/O25</f>
        <v>12.32833465189515</v>
      </c>
      <c r="T25" s="14"/>
      <c r="U25" s="14">
        <v>38.648324230585814</v>
      </c>
      <c r="V25" s="14">
        <v>38.928140381389944</v>
      </c>
      <c r="W25" s="14">
        <v>16.05420843292091</v>
      </c>
      <c r="X25" s="14">
        <v>2.6846799587753427</v>
      </c>
      <c r="Y25" s="14">
        <v>3.5999867168943163</v>
      </c>
      <c r="Z25" s="14">
        <v>0.07061432838109079</v>
      </c>
      <c r="AA25" s="14">
        <v>0.014045951052590131</v>
      </c>
      <c r="AB25" s="14">
        <v>4.273968683039371</v>
      </c>
      <c r="AC25" s="14">
        <v>17.103354106876466</v>
      </c>
      <c r="AD25" s="14">
        <v>25.966296624161433</v>
      </c>
      <c r="AE25" s="14">
        <v>30.652765347424673</v>
      </c>
      <c r="AF25" s="14">
        <v>32.716892750494345</v>
      </c>
      <c r="AG25" s="14">
        <v>34.41563105384355</v>
      </c>
      <c r="AH25" s="14">
        <v>35.34251504561671</v>
      </c>
      <c r="AI25" s="14">
        <f>(U25*AB25+V25*AC25+W25*AD25+X25*AE25+Y25*AF25+Z25*AG25+AA25*AH25)/100</f>
        <v>14.508517353521176</v>
      </c>
      <c r="AJ25" s="14">
        <f t="shared" si="27"/>
        <v>20.955743943665684</v>
      </c>
      <c r="AK25" s="21">
        <f>Q25*1000000/AI25/40000</f>
        <v>169.9461681920668</v>
      </c>
      <c r="AL25" s="16">
        <f t="shared" si="46"/>
        <v>2.46566693037903</v>
      </c>
      <c r="AM25" s="21">
        <f>Q25*1000000/AI25/P25</f>
        <v>5083.0020518770925</v>
      </c>
      <c r="AN25" s="15">
        <f t="shared" si="42"/>
        <v>1964.4951136567886</v>
      </c>
      <c r="AO25" s="51">
        <f t="shared" si="10"/>
        <v>1978.7181743436458</v>
      </c>
      <c r="AP25" s="15">
        <f t="shared" si="11"/>
        <v>816.0357440579951</v>
      </c>
      <c r="AQ25" s="15">
        <f t="shared" si="12"/>
        <v>136.46233739088376</v>
      </c>
      <c r="AR25" s="15">
        <f t="shared" si="13"/>
        <v>182.98739868704087</v>
      </c>
      <c r="AS25" s="15">
        <f t="shared" si="14"/>
        <v>3.5893277605300726</v>
      </c>
      <c r="AT25" s="15">
        <f t="shared" si="15"/>
        <v>0.7139559802088083</v>
      </c>
      <c r="AU25" s="26">
        <f aca="true" t="shared" si="49" ref="AU25:AZ25">AO25/AN24</f>
        <v>1.6783757421085002</v>
      </c>
      <c r="AV25" s="27">
        <f t="shared" si="49"/>
        <v>0.23578493368503933</v>
      </c>
      <c r="AW25" s="27">
        <f t="shared" si="49"/>
        <v>0.19331420219730155</v>
      </c>
      <c r="AX25" s="27">
        <f t="shared" si="49"/>
        <v>0.15836294020056427</v>
      </c>
      <c r="AY25" s="27">
        <f t="shared" si="49"/>
        <v>0.13069668248219296</v>
      </c>
      <c r="AZ25" s="27">
        <f t="shared" si="49"/>
        <v>0.10723802589016988</v>
      </c>
      <c r="BA25" s="27">
        <f aca="true" t="shared" si="50" ref="BA25:BF25">-LN(AU25)</f>
        <v>-0.517826505569571</v>
      </c>
      <c r="BB25" s="27">
        <f t="shared" si="50"/>
        <v>1.4448351873856868</v>
      </c>
      <c r="BC25" s="27">
        <f t="shared" si="50"/>
        <v>1.6434384231579553</v>
      </c>
      <c r="BD25" s="27">
        <f t="shared" si="50"/>
        <v>1.842865790355789</v>
      </c>
      <c r="BE25" s="27">
        <f t="shared" si="50"/>
        <v>2.034876041365821</v>
      </c>
      <c r="BF25" s="27">
        <f t="shared" si="50"/>
        <v>2.2327043741186716</v>
      </c>
      <c r="BG25" s="15">
        <f t="shared" si="45"/>
        <v>1338.4446690869188</v>
      </c>
      <c r="BI25" s="2">
        <f t="shared" si="30"/>
        <v>65.35063288388956</v>
      </c>
      <c r="BJ25" s="2">
        <f t="shared" si="19"/>
        <v>898.0372427174627</v>
      </c>
      <c r="BK25" s="2">
        <f t="shared" si="20"/>
        <v>66.52492195807034</v>
      </c>
      <c r="BL25" s="2">
        <f t="shared" si="21"/>
        <v>30.88890291564419</v>
      </c>
      <c r="BM25" s="2">
        <f t="shared" si="22"/>
        <v>5.273721690369157</v>
      </c>
      <c r="BN25" s="2">
        <f t="shared" si="23"/>
        <v>7.125258021693645</v>
      </c>
      <c r="BO25" s="2">
        <f t="shared" si="24"/>
        <v>0.1400168274660164</v>
      </c>
      <c r="BP25" s="2">
        <f t="shared" si="25"/>
        <v>1007.9900641307061</v>
      </c>
      <c r="BQ25" s="2">
        <f t="shared" si="26"/>
        <v>109.95282141324334</v>
      </c>
      <c r="BS25" s="55">
        <f>BB25-$BK$5</f>
        <v>0.9372832089335195</v>
      </c>
      <c r="BT25" s="55">
        <f>BC25-$BL$5</f>
        <v>0.8318299952140331</v>
      </c>
      <c r="BU25" s="55">
        <f>BD25-$BM$5</f>
        <v>0.8165185316208863</v>
      </c>
      <c r="BV25" s="55">
        <f>BE25-$BN$5</f>
        <v>0.8107408460769663</v>
      </c>
      <c r="BW25" s="55">
        <f>BF25-$BO$5</f>
        <v>0.8097384497452103</v>
      </c>
    </row>
    <row r="26" spans="1:75" ht="15">
      <c r="A26" s="1">
        <v>1</v>
      </c>
      <c r="B26" s="1">
        <v>1</v>
      </c>
      <c r="C26" s="8">
        <v>4</v>
      </c>
      <c r="D26" s="28">
        <v>1</v>
      </c>
      <c r="E26" s="37">
        <v>5</v>
      </c>
      <c r="F26" s="48">
        <v>2</v>
      </c>
      <c r="G26" s="48">
        <v>2</v>
      </c>
      <c r="H26" s="48">
        <v>2</v>
      </c>
      <c r="I26">
        <f>8*500</f>
        <v>4000</v>
      </c>
      <c r="J26" s="46">
        <v>800</v>
      </c>
      <c r="K26" s="46">
        <v>0</v>
      </c>
      <c r="L26">
        <f>SUM($I$5:I26)-SUM($J$5:J26)-SUM(K11:K26)</f>
        <v>26900</v>
      </c>
      <c r="N26">
        <v>2027</v>
      </c>
      <c r="O26" s="29">
        <v>8</v>
      </c>
      <c r="P26" s="29">
        <v>1277.994583936149</v>
      </c>
      <c r="Q26" s="29">
        <f>161227.334657778/1000</f>
        <v>161.22733465777802</v>
      </c>
      <c r="R26" s="30">
        <f>Q26/P26*1000</f>
        <v>126.15650855202156</v>
      </c>
      <c r="S26" s="45">
        <f>Q26/O26</f>
        <v>20.153416832222252</v>
      </c>
      <c r="T26" s="29"/>
      <c r="U26" s="29">
        <v>12.324514025534219</v>
      </c>
      <c r="V26" s="29">
        <v>80.10424919556833</v>
      </c>
      <c r="W26" s="29">
        <v>5.270510824881333</v>
      </c>
      <c r="X26" s="29">
        <v>1.7824795691751776</v>
      </c>
      <c r="Y26" s="29">
        <v>0.24419022020873243</v>
      </c>
      <c r="Z26" s="29">
        <v>0.2697176305995842</v>
      </c>
      <c r="AA26" s="29">
        <v>0.004338534032632549</v>
      </c>
      <c r="AB26" s="29">
        <v>4.642456828624537</v>
      </c>
      <c r="AC26" s="29">
        <v>15.831407096872145</v>
      </c>
      <c r="AD26" s="29">
        <v>25.33905098127203</v>
      </c>
      <c r="AE26" s="29">
        <v>30.550327027080396</v>
      </c>
      <c r="AF26" s="29">
        <v>33.02831955626367</v>
      </c>
      <c r="AG26" s="29">
        <v>34.07528768578564</v>
      </c>
      <c r="AH26" s="29">
        <v>34.91920424554112</v>
      </c>
      <c r="AI26" s="29">
        <f>(U26*AB26+V26*AC26+W26*AD26+X26*AE26+Y26*AF26+Z26*AG26+AA26*AH26)/100</f>
        <v>15.307914763862502</v>
      </c>
      <c r="AJ26" s="29">
        <f>(V26*AC26+W26*AD26+X26*AE26+Y26*AF26+Z26*AG26+AA26*AH26)/(100-U26)</f>
        <v>16.80715465344655</v>
      </c>
      <c r="AK26" s="32">
        <f>Q26*1000000/AI26/40000</f>
        <v>263.3071472255458</v>
      </c>
      <c r="AL26" s="33">
        <f t="shared" si="46"/>
        <v>4.03068336644445</v>
      </c>
      <c r="AM26" s="32">
        <f>Q26*1000000/AI26/P26</f>
        <v>8241.260191090172</v>
      </c>
      <c r="AN26" s="30">
        <f aca="true" t="shared" si="51" ref="AN26:AT26">U26*$AM26/100</f>
        <v>1015.6952681316765</v>
      </c>
      <c r="AO26" s="30">
        <f t="shared" si="51"/>
        <v>6601.599600326042</v>
      </c>
      <c r="AP26" s="30">
        <f t="shared" si="51"/>
        <v>434.35651047804356</v>
      </c>
      <c r="AQ26" s="30">
        <f t="shared" si="51"/>
        <v>146.8987791487495</v>
      </c>
      <c r="AR26" s="30">
        <f t="shared" si="51"/>
        <v>20.124351408597693</v>
      </c>
      <c r="AS26" s="30">
        <f t="shared" si="51"/>
        <v>22.22813171895518</v>
      </c>
      <c r="AT26" s="30">
        <f t="shared" si="51"/>
        <v>0.3575498781082454</v>
      </c>
      <c r="AU26" s="34">
        <f aca="true" t="shared" si="52" ref="AU26:AZ26">AO26/AN25</f>
        <v>3.360456106219355</v>
      </c>
      <c r="AV26" s="35">
        <f t="shared" si="52"/>
        <v>0.2195140854872486</v>
      </c>
      <c r="AW26" s="35">
        <f t="shared" si="52"/>
        <v>0.1800151282813287</v>
      </c>
      <c r="AX26" s="35">
        <f t="shared" si="52"/>
        <v>0.14747183577072512</v>
      </c>
      <c r="AY26" s="35">
        <f t="shared" si="52"/>
        <v>0.1214735652752321</v>
      </c>
      <c r="AZ26" s="35">
        <f t="shared" si="52"/>
        <v>0.09961471951378505</v>
      </c>
      <c r="BA26" s="35">
        <f aca="true" t="shared" si="53" ref="BA26:BF26">-LN(AU26)</f>
        <v>-1.2120767106610897</v>
      </c>
      <c r="BB26" s="35">
        <f t="shared" si="53"/>
        <v>1.516338877741036</v>
      </c>
      <c r="BC26" s="35">
        <f t="shared" si="53"/>
        <v>1.7147143856162128</v>
      </c>
      <c r="BD26" s="35">
        <f t="shared" si="53"/>
        <v>1.9141180653616625</v>
      </c>
      <c r="BE26" s="35">
        <f t="shared" si="53"/>
        <v>2.108058609624442</v>
      </c>
      <c r="BF26" s="35">
        <f t="shared" si="53"/>
        <v>2.306445339027919</v>
      </c>
      <c r="BG26" s="30">
        <f>AVERAGE(P25:P26)</f>
        <v>1307.6815319412128</v>
      </c>
      <c r="BI26" s="2">
        <f t="shared" si="30"/>
        <v>121.44118711868205</v>
      </c>
      <c r="BK26" s="2">
        <f t="shared" si="20"/>
        <v>221.94716958911758</v>
      </c>
      <c r="BL26" s="2">
        <f t="shared" si="21"/>
        <v>16.44143186205916</v>
      </c>
      <c r="BM26" s="2">
        <f t="shared" si="22"/>
        <v>5.677048280848675</v>
      </c>
      <c r="BN26" s="2">
        <f t="shared" si="23"/>
        <v>0.7836124090202035</v>
      </c>
      <c r="BO26" s="2">
        <f t="shared" si="24"/>
        <v>0.8671017782241226</v>
      </c>
      <c r="BP26" s="2">
        <f t="shared" si="25"/>
        <v>245.71636391926972</v>
      </c>
      <c r="BQ26" s="2">
        <f t="shared" si="26"/>
        <v>245.71636391926972</v>
      </c>
      <c r="BS26" s="55">
        <f>BB26-$BK$5</f>
        <v>1.0087868992888687</v>
      </c>
      <c r="BT26" s="55">
        <f>BC26-$BL$5</f>
        <v>0.9031059576722906</v>
      </c>
      <c r="BU26" s="55">
        <f>BD26-$BM$5</f>
        <v>0.8877708066267598</v>
      </c>
      <c r="BV26" s="55">
        <f>BE26-$BN$5</f>
        <v>0.883923414335587</v>
      </c>
      <c r="BW26" s="55">
        <f>BF26-$BO$5</f>
        <v>0.8834794146544578</v>
      </c>
    </row>
    <row r="27" spans="1:8" ht="15">
      <c r="A27" s="1">
        <v>2</v>
      </c>
      <c r="B27" s="1">
        <v>2</v>
      </c>
      <c r="C27" s="8">
        <v>5</v>
      </c>
      <c r="D27" s="28">
        <v>2</v>
      </c>
      <c r="F27" s="48">
        <v>3</v>
      </c>
      <c r="G27" s="48">
        <v>3</v>
      </c>
      <c r="H27" s="48">
        <v>3</v>
      </c>
    </row>
    <row r="28" spans="1:8" ht="15">
      <c r="A28" s="1">
        <v>3</v>
      </c>
      <c r="B28" s="1">
        <v>3</v>
      </c>
      <c r="D28" s="28">
        <v>3</v>
      </c>
      <c r="F28" s="48">
        <v>4</v>
      </c>
      <c r="G28" s="48">
        <v>4</v>
      </c>
      <c r="H28" s="48">
        <v>4</v>
      </c>
    </row>
    <row r="29" spans="1:8" ht="15">
      <c r="A29" s="1">
        <v>4</v>
      </c>
      <c r="B29" s="1">
        <v>4</v>
      </c>
      <c r="D29" s="28">
        <v>4</v>
      </c>
      <c r="F29" s="48">
        <v>5</v>
      </c>
      <c r="G29" s="48">
        <v>5</v>
      </c>
      <c r="H29" s="48">
        <v>5</v>
      </c>
    </row>
    <row r="30" spans="1:4" ht="15">
      <c r="A30" s="1">
        <v>5</v>
      </c>
      <c r="B30" s="1">
        <v>5</v>
      </c>
      <c r="D30" s="28">
        <v>5</v>
      </c>
    </row>
    <row r="57" spans="38:40" ht="15">
      <c r="AL57" s="39" t="s">
        <v>35</v>
      </c>
      <c r="AM57" s="40" t="s">
        <v>36</v>
      </c>
      <c r="AN57" s="42" t="s">
        <v>37</v>
      </c>
    </row>
    <row r="58" spans="37:40" ht="15">
      <c r="AK58" t="s">
        <v>33</v>
      </c>
      <c r="AL58">
        <v>24.616</v>
      </c>
      <c r="AM58">
        <v>38</v>
      </c>
      <c r="AN58">
        <v>27</v>
      </c>
    </row>
    <row r="59" spans="37:40" ht="15">
      <c r="AK59" t="s">
        <v>34</v>
      </c>
      <c r="AL59">
        <v>-0.7942</v>
      </c>
      <c r="AM59">
        <f>-AM58/10</f>
        <v>-3.8</v>
      </c>
      <c r="AN59">
        <f>-AN58/20</f>
        <v>-1.35</v>
      </c>
    </row>
    <row r="60" spans="37:40" ht="15">
      <c r="AK60">
        <v>0</v>
      </c>
      <c r="AL60">
        <f>AL$58*$AK60+AL$59*$AK60^2</f>
        <v>0</v>
      </c>
      <c r="AM60">
        <f>AM$58*$AK60+AM$59*$AK60^2</f>
        <v>0</v>
      </c>
      <c r="AN60">
        <f>AN$58*$AK60+AN$59*$AK60^2</f>
        <v>0</v>
      </c>
    </row>
    <row r="61" spans="37:40" ht="15">
      <c r="AK61">
        <v>1</v>
      </c>
      <c r="AL61">
        <f aca="true" t="shared" si="54" ref="AL61:AN85">AL$58*$AK61+AL$59*$AK61^2</f>
        <v>23.8218</v>
      </c>
      <c r="AM61">
        <f t="shared" si="54"/>
        <v>34.2</v>
      </c>
      <c r="AN61">
        <f t="shared" si="54"/>
        <v>25.65</v>
      </c>
    </row>
    <row r="62" spans="37:40" ht="15">
      <c r="AK62">
        <v>2</v>
      </c>
      <c r="AL62">
        <f t="shared" si="54"/>
        <v>46.0552</v>
      </c>
      <c r="AM62">
        <f t="shared" si="54"/>
        <v>60.8</v>
      </c>
      <c r="AN62">
        <f t="shared" si="54"/>
        <v>48.6</v>
      </c>
    </row>
    <row r="63" spans="37:40" ht="15">
      <c r="AK63">
        <v>3</v>
      </c>
      <c r="AL63">
        <f t="shared" si="54"/>
        <v>66.7002</v>
      </c>
      <c r="AM63">
        <f t="shared" si="54"/>
        <v>79.80000000000001</v>
      </c>
      <c r="AN63">
        <f t="shared" si="54"/>
        <v>68.85</v>
      </c>
    </row>
    <row r="64" spans="37:40" ht="15">
      <c r="AK64">
        <v>4</v>
      </c>
      <c r="AL64">
        <f t="shared" si="54"/>
        <v>85.7568</v>
      </c>
      <c r="AM64">
        <f t="shared" si="54"/>
        <v>91.2</v>
      </c>
      <c r="AN64">
        <f t="shared" si="54"/>
        <v>86.4</v>
      </c>
    </row>
    <row r="65" spans="37:40" ht="15">
      <c r="AK65">
        <v>5</v>
      </c>
      <c r="AL65">
        <f t="shared" si="54"/>
        <v>103.225</v>
      </c>
      <c r="AM65" s="40">
        <f t="shared" si="54"/>
        <v>95</v>
      </c>
      <c r="AN65">
        <f t="shared" si="54"/>
        <v>101.25</v>
      </c>
    </row>
    <row r="66" spans="37:40" ht="15">
      <c r="AK66">
        <v>6</v>
      </c>
      <c r="AL66">
        <f t="shared" si="54"/>
        <v>119.1048</v>
      </c>
      <c r="AM66">
        <f t="shared" si="54"/>
        <v>91.20000000000002</v>
      </c>
      <c r="AN66">
        <f t="shared" si="54"/>
        <v>113.4</v>
      </c>
    </row>
    <row r="67" spans="37:40" ht="15">
      <c r="AK67">
        <v>7</v>
      </c>
      <c r="AL67">
        <f t="shared" si="54"/>
        <v>133.39620000000002</v>
      </c>
      <c r="AM67">
        <f t="shared" si="54"/>
        <v>79.80000000000001</v>
      </c>
      <c r="AN67">
        <f t="shared" si="54"/>
        <v>122.85</v>
      </c>
    </row>
    <row r="68" spans="37:40" ht="15">
      <c r="AK68">
        <v>8</v>
      </c>
      <c r="AL68">
        <f t="shared" si="54"/>
        <v>146.0992</v>
      </c>
      <c r="AM68">
        <f t="shared" si="54"/>
        <v>60.80000000000001</v>
      </c>
      <c r="AN68">
        <f t="shared" si="54"/>
        <v>129.6</v>
      </c>
    </row>
    <row r="69" spans="37:40" ht="15">
      <c r="AK69">
        <v>9</v>
      </c>
      <c r="AL69">
        <f t="shared" si="54"/>
        <v>157.2138</v>
      </c>
      <c r="AM69">
        <f t="shared" si="54"/>
        <v>34.19999999999999</v>
      </c>
      <c r="AN69">
        <f t="shared" si="54"/>
        <v>133.64999999999998</v>
      </c>
    </row>
    <row r="70" spans="37:40" ht="15">
      <c r="AK70">
        <v>10</v>
      </c>
      <c r="AL70">
        <f t="shared" si="54"/>
        <v>166.74</v>
      </c>
      <c r="AM70">
        <f t="shared" si="54"/>
        <v>0</v>
      </c>
      <c r="AN70" s="41">
        <f t="shared" si="54"/>
        <v>135</v>
      </c>
    </row>
    <row r="71" spans="37:40" ht="15">
      <c r="AK71">
        <v>11</v>
      </c>
      <c r="AL71">
        <f t="shared" si="54"/>
        <v>174.6778</v>
      </c>
      <c r="AM71">
        <f t="shared" si="54"/>
        <v>-41.799999999999955</v>
      </c>
      <c r="AN71">
        <f t="shared" si="54"/>
        <v>133.64999999999998</v>
      </c>
    </row>
    <row r="72" spans="37:40" ht="15">
      <c r="AK72">
        <v>12</v>
      </c>
      <c r="AL72">
        <f t="shared" si="54"/>
        <v>181.0272</v>
      </c>
      <c r="AM72">
        <f t="shared" si="54"/>
        <v>-91.19999999999993</v>
      </c>
      <c r="AN72">
        <f t="shared" si="54"/>
        <v>129.6</v>
      </c>
    </row>
    <row r="73" spans="37:40" ht="15">
      <c r="AK73">
        <v>13</v>
      </c>
      <c r="AL73">
        <f t="shared" si="54"/>
        <v>185.7882</v>
      </c>
      <c r="AM73">
        <f t="shared" si="54"/>
        <v>-148.19999999999993</v>
      </c>
      <c r="AN73">
        <f t="shared" si="54"/>
        <v>122.85</v>
      </c>
    </row>
    <row r="74" spans="37:40" ht="15">
      <c r="AK74">
        <v>14</v>
      </c>
      <c r="AL74">
        <f t="shared" si="54"/>
        <v>188.9608</v>
      </c>
      <c r="AM74">
        <f t="shared" si="54"/>
        <v>-212.79999999999995</v>
      </c>
      <c r="AN74">
        <f t="shared" si="54"/>
        <v>113.39999999999998</v>
      </c>
    </row>
    <row r="75" spans="37:40" ht="15">
      <c r="AK75">
        <v>15</v>
      </c>
      <c r="AL75">
        <f t="shared" si="54"/>
        <v>190.54500000000002</v>
      </c>
      <c r="AM75">
        <f t="shared" si="54"/>
        <v>-285</v>
      </c>
      <c r="AN75">
        <f t="shared" si="54"/>
        <v>101.25</v>
      </c>
    </row>
    <row r="76" spans="37:40" ht="15">
      <c r="AK76">
        <v>16</v>
      </c>
      <c r="AL76" s="39">
        <f t="shared" si="54"/>
        <v>190.5408</v>
      </c>
      <c r="AM76">
        <f t="shared" si="54"/>
        <v>-364.79999999999995</v>
      </c>
      <c r="AN76">
        <f t="shared" si="54"/>
        <v>86.39999999999998</v>
      </c>
    </row>
    <row r="77" spans="37:40" ht="15">
      <c r="AK77">
        <v>17</v>
      </c>
      <c r="AL77">
        <f t="shared" si="54"/>
        <v>188.94819999999999</v>
      </c>
      <c r="AM77">
        <f t="shared" si="54"/>
        <v>-452.20000000000005</v>
      </c>
      <c r="AN77">
        <f t="shared" si="54"/>
        <v>68.84999999999997</v>
      </c>
    </row>
    <row r="78" spans="37:40" ht="15">
      <c r="AK78">
        <v>18</v>
      </c>
      <c r="AL78">
        <f t="shared" si="54"/>
        <v>185.76719999999995</v>
      </c>
      <c r="AM78">
        <f t="shared" si="54"/>
        <v>-547.2</v>
      </c>
      <c r="AN78">
        <f t="shared" si="54"/>
        <v>48.599999999999966</v>
      </c>
    </row>
    <row r="79" spans="37:40" ht="15">
      <c r="AK79">
        <v>19</v>
      </c>
      <c r="AL79">
        <f t="shared" si="54"/>
        <v>180.99779999999998</v>
      </c>
      <c r="AM79">
        <f t="shared" si="54"/>
        <v>-649.8</v>
      </c>
      <c r="AN79">
        <f t="shared" si="54"/>
        <v>25.649999999999977</v>
      </c>
    </row>
    <row r="80" spans="37:40" ht="15">
      <c r="AK80">
        <v>20</v>
      </c>
      <c r="AL80">
        <f t="shared" si="54"/>
        <v>174.64</v>
      </c>
      <c r="AM80">
        <f t="shared" si="54"/>
        <v>-760</v>
      </c>
      <c r="AN80">
        <f t="shared" si="54"/>
        <v>0</v>
      </c>
    </row>
    <row r="81" spans="37:40" ht="15">
      <c r="AK81">
        <v>21</v>
      </c>
      <c r="AL81">
        <f t="shared" si="54"/>
        <v>166.6938</v>
      </c>
      <c r="AM81">
        <f t="shared" si="54"/>
        <v>-877.8</v>
      </c>
      <c r="AN81">
        <f t="shared" si="54"/>
        <v>-28.350000000000023</v>
      </c>
    </row>
    <row r="82" spans="37:40" ht="15">
      <c r="AK82">
        <v>22</v>
      </c>
      <c r="AL82">
        <f t="shared" si="54"/>
        <v>157.1592</v>
      </c>
      <c r="AM82">
        <f t="shared" si="54"/>
        <v>-1003.1999999999998</v>
      </c>
      <c r="AN82">
        <f t="shared" si="54"/>
        <v>-59.40000000000009</v>
      </c>
    </row>
    <row r="83" spans="37:40" ht="15">
      <c r="AK83">
        <v>23</v>
      </c>
      <c r="AL83">
        <f t="shared" si="54"/>
        <v>146.0362</v>
      </c>
      <c r="AM83">
        <f t="shared" si="54"/>
        <v>-1136.1999999999998</v>
      </c>
      <c r="AN83">
        <f t="shared" si="54"/>
        <v>-93.15000000000009</v>
      </c>
    </row>
    <row r="84" spans="37:40" ht="15">
      <c r="AK84">
        <v>24</v>
      </c>
      <c r="AL84" s="43">
        <f t="shared" si="54"/>
        <v>133.32479999999998</v>
      </c>
      <c r="AM84">
        <f t="shared" si="54"/>
        <v>-1276.7999999999997</v>
      </c>
      <c r="AN84">
        <f t="shared" si="54"/>
        <v>-129.60000000000002</v>
      </c>
    </row>
    <row r="85" spans="37:40" ht="15">
      <c r="AK85">
        <v>25</v>
      </c>
      <c r="AL85">
        <f t="shared" si="54"/>
        <v>119.02499999999998</v>
      </c>
      <c r="AM85">
        <f t="shared" si="54"/>
        <v>-1425</v>
      </c>
      <c r="AN85">
        <f t="shared" si="54"/>
        <v>-168.75</v>
      </c>
    </row>
  </sheetData>
  <sheetProtection/>
  <mergeCells count="5">
    <mergeCell ref="U1:AA1"/>
    <mergeCell ref="AB1:AI1"/>
    <mergeCell ref="AM1:AT1"/>
    <mergeCell ref="AU1:AZ1"/>
    <mergeCell ref="BA1:B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Marjomäki</dc:creator>
  <cp:keywords/>
  <dc:description/>
  <cp:lastModifiedBy>Timo Marjomäki</cp:lastModifiedBy>
  <dcterms:created xsi:type="dcterms:W3CDTF">2011-03-21T13:58:21Z</dcterms:created>
  <dcterms:modified xsi:type="dcterms:W3CDTF">2011-04-01T08:49:04Z</dcterms:modified>
  <cp:category/>
  <cp:version/>
  <cp:contentType/>
  <cp:contentStatus/>
</cp:coreProperties>
</file>